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Website\Website\2015 proposed new website\Website documents 2016\Professional Development\Projects\"/>
    </mc:Choice>
  </mc:AlternateContent>
  <workbookProtection workbookAlgorithmName="SHA-512" workbookHashValue="bxikcb2zhG6NrjER+E/A1/43qgBkWv4FBSUf6nhL2WjNQ2RK4AaW0zQOrPmWzQRjKyTPTX6sfiXTLsn9hGud5w==" workbookSaltValue="tKcOczp48NL98K+WctasSQ==" workbookSpinCount="100000" lockStructure="1"/>
  <bookViews>
    <workbookView xWindow="0" yWindow="0" windowWidth="28800" windowHeight="12435" tabRatio="670"/>
  </bookViews>
  <sheets>
    <sheet name="Service Information" sheetId="9" r:id="rId1"/>
    <sheet name="PFM Amounts" sheetId="1" r:id="rId2"/>
    <sheet name="Wages Budget" sheetId="12" r:id="rId3"/>
    <sheet name="Budget Projections" sheetId="10" r:id="rId4"/>
    <sheet name="Fee Setting" sheetId="8" r:id="rId5"/>
    <sheet name="Budget for Printing" sheetId="13" r:id="rId6"/>
  </sheets>
  <definedNames>
    <definedName name="_xlnm.Print_Area" localSheetId="5">'Budget for Printing'!$A$2:$D$88</definedName>
  </definedNames>
  <calcPr calcId="152511"/>
</workbook>
</file>

<file path=xl/calcChain.xml><?xml version="1.0" encoding="utf-8"?>
<calcChain xmlns="http://schemas.openxmlformats.org/spreadsheetml/2006/main">
  <c r="B22" i="8" l="1"/>
  <c r="J86" i="10" l="1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I50" i="10"/>
  <c r="J87" i="10" l="1"/>
  <c r="J21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24" i="10"/>
  <c r="I10" i="10"/>
  <c r="I11" i="10"/>
  <c r="I12" i="10"/>
  <c r="I13" i="10"/>
  <c r="I14" i="10"/>
  <c r="I15" i="10"/>
  <c r="I16" i="10"/>
  <c r="I17" i="10"/>
  <c r="I18" i="10"/>
  <c r="I19" i="10"/>
  <c r="I20" i="10"/>
  <c r="I9" i="10"/>
  <c r="I21" i="10" l="1"/>
  <c r="M10" i="10"/>
  <c r="F10" i="10" s="1"/>
  <c r="M86" i="10" l="1"/>
  <c r="G25" i="1"/>
  <c r="G49" i="1"/>
  <c r="G37" i="1"/>
  <c r="E87" i="10" l="1"/>
  <c r="E21" i="10"/>
  <c r="H53" i="1"/>
  <c r="E89" i="10" l="1"/>
  <c r="B4" i="12"/>
  <c r="H5" i="10"/>
  <c r="W5" i="10" s="1"/>
  <c r="G5" i="10"/>
  <c r="R5" i="10" s="1"/>
  <c r="F5" i="10"/>
  <c r="M5" i="10" s="1"/>
  <c r="E5" i="10"/>
  <c r="D5" i="10"/>
  <c r="K51" i="1"/>
  <c r="D48" i="1"/>
  <c r="E48" i="1" s="1"/>
  <c r="D49" i="1"/>
  <c r="E49" i="1" s="1"/>
  <c r="D50" i="1"/>
  <c r="E50" i="1" s="1"/>
  <c r="D51" i="1"/>
  <c r="E51" i="1" s="1"/>
  <c r="B52" i="1"/>
  <c r="E52" i="1" l="1"/>
  <c r="D52" i="1"/>
  <c r="B53" i="1" s="1"/>
  <c r="K52" i="1"/>
  <c r="K53" i="1" s="1"/>
  <c r="B55" i="8" l="1"/>
  <c r="C55" i="8"/>
  <c r="D11" i="8" l="1"/>
  <c r="C11" i="8"/>
  <c r="B11" i="8" l="1"/>
  <c r="G9" i="1" l="1"/>
  <c r="M6" i="9" l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M5" i="9"/>
  <c r="L5" i="9"/>
  <c r="M4" i="9"/>
  <c r="L4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5" i="9"/>
  <c r="E23" i="8" l="1"/>
  <c r="F22" i="8"/>
  <c r="D22" i="8"/>
  <c r="C21" i="8"/>
  <c r="G23" i="8"/>
  <c r="E22" i="8"/>
  <c r="F21" i="8"/>
  <c r="B23" i="8"/>
  <c r="G22" i="8"/>
  <c r="E21" i="8"/>
  <c r="D23" i="8"/>
  <c r="G21" i="8"/>
  <c r="F23" i="8"/>
  <c r="D21" i="8"/>
  <c r="B21" i="8"/>
  <c r="C23" i="8"/>
  <c r="C22" i="8"/>
  <c r="H41" i="1"/>
  <c r="H29" i="1"/>
  <c r="K27" i="1" l="1"/>
  <c r="A8" i="9"/>
  <c r="H13" i="1"/>
  <c r="K11" i="1" s="1"/>
  <c r="K5" i="1"/>
  <c r="K6" i="1" s="1"/>
  <c r="K28" i="1"/>
  <c r="K39" i="1"/>
  <c r="K40" i="1"/>
  <c r="D10" i="1"/>
  <c r="E19" i="9"/>
  <c r="E13" i="9"/>
  <c r="E15" i="9" s="1"/>
  <c r="K41" i="1" l="1"/>
  <c r="K12" i="1"/>
  <c r="K13" i="1" s="1"/>
  <c r="K29" i="1"/>
  <c r="W64" i="10"/>
  <c r="W65" i="10"/>
  <c r="W66" i="10"/>
  <c r="W67" i="10"/>
  <c r="W68" i="10"/>
  <c r="W69" i="10"/>
  <c r="W70" i="10"/>
  <c r="W71" i="10"/>
  <c r="W72" i="10"/>
  <c r="W73" i="10"/>
  <c r="B2" i="13" l="1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C5" i="10"/>
  <c r="B5" i="10"/>
  <c r="B35" i="8" l="1"/>
  <c r="N3" i="10"/>
  <c r="C35" i="8"/>
  <c r="C8" i="8"/>
  <c r="C5" i="13" s="1"/>
  <c r="S3" i="10"/>
  <c r="D8" i="8"/>
  <c r="D5" i="13" s="1"/>
  <c r="I3" i="10"/>
  <c r="B8" i="8"/>
  <c r="B5" i="13" s="1"/>
  <c r="I87" i="10"/>
  <c r="R11" i="10" l="1"/>
  <c r="G11" i="10" s="1"/>
  <c r="W11" i="10"/>
  <c r="H11" i="10" s="1"/>
  <c r="M11" i="10"/>
  <c r="F11" i="10" s="1"/>
  <c r="C51" i="8"/>
  <c r="C43" i="8"/>
  <c r="B51" i="8"/>
  <c r="B43" i="8"/>
  <c r="N11" i="10" l="1"/>
  <c r="S11" i="10"/>
  <c r="M37" i="10"/>
  <c r="B36" i="13" s="1"/>
  <c r="B4" i="8"/>
  <c r="C87" i="10"/>
  <c r="G7" i="12"/>
  <c r="H6" i="12"/>
  <c r="M71" i="10"/>
  <c r="B70" i="13" s="1"/>
  <c r="O1" i="10"/>
  <c r="D87" i="10"/>
  <c r="B85" i="13"/>
  <c r="M85" i="10"/>
  <c r="B84" i="13" s="1"/>
  <c r="M84" i="10"/>
  <c r="B83" i="13" s="1"/>
  <c r="M83" i="10"/>
  <c r="M82" i="10"/>
  <c r="B81" i="13" s="1"/>
  <c r="M81" i="10"/>
  <c r="M80" i="10"/>
  <c r="B79" i="13" s="1"/>
  <c r="M79" i="10"/>
  <c r="M78" i="10"/>
  <c r="B77" i="13" s="1"/>
  <c r="M77" i="10"/>
  <c r="M76" i="10"/>
  <c r="M75" i="10"/>
  <c r="M74" i="10"/>
  <c r="M73" i="10"/>
  <c r="B72" i="13" s="1"/>
  <c r="M70" i="10"/>
  <c r="B69" i="13" s="1"/>
  <c r="M68" i="10"/>
  <c r="B67" i="13" s="1"/>
  <c r="M67" i="10"/>
  <c r="M66" i="10"/>
  <c r="B65" i="13" s="1"/>
  <c r="M61" i="10"/>
  <c r="M60" i="10"/>
  <c r="M59" i="10"/>
  <c r="M58" i="10"/>
  <c r="M57" i="10"/>
  <c r="M56" i="10"/>
  <c r="M55" i="10"/>
  <c r="B54" i="13" s="1"/>
  <c r="M54" i="10"/>
  <c r="M53" i="10"/>
  <c r="B52" i="13" s="1"/>
  <c r="M52" i="10"/>
  <c r="M51" i="10"/>
  <c r="M50" i="10"/>
  <c r="B49" i="13" s="1"/>
  <c r="M48" i="10"/>
  <c r="M47" i="10"/>
  <c r="B46" i="13" s="1"/>
  <c r="M46" i="10"/>
  <c r="M45" i="10"/>
  <c r="B44" i="13" s="1"/>
  <c r="M43" i="10"/>
  <c r="M42" i="10"/>
  <c r="M41" i="10"/>
  <c r="B40" i="13" s="1"/>
  <c r="M40" i="10"/>
  <c r="M38" i="10"/>
  <c r="B37" i="13" s="1"/>
  <c r="M36" i="10"/>
  <c r="M35" i="10"/>
  <c r="M33" i="10"/>
  <c r="M32" i="10"/>
  <c r="B31" i="13" s="1"/>
  <c r="M29" i="10"/>
  <c r="M28" i="10"/>
  <c r="B27" i="13" s="1"/>
  <c r="M27" i="10"/>
  <c r="M26" i="10"/>
  <c r="M25" i="10"/>
  <c r="M24" i="10"/>
  <c r="D21" i="10"/>
  <c r="C21" i="10"/>
  <c r="M20" i="10"/>
  <c r="F20" i="10" s="1"/>
  <c r="N20" i="10" s="1"/>
  <c r="M19" i="10"/>
  <c r="M18" i="10"/>
  <c r="M17" i="10"/>
  <c r="F17" i="10" s="1"/>
  <c r="N17" i="10" s="1"/>
  <c r="M16" i="10"/>
  <c r="M14" i="10"/>
  <c r="M13" i="10"/>
  <c r="M44" i="10"/>
  <c r="B43" i="13" s="1"/>
  <c r="M49" i="10"/>
  <c r="M63" i="10"/>
  <c r="B14" i="9"/>
  <c r="B15" i="9"/>
  <c r="H51" i="1" s="1"/>
  <c r="B40" i="1"/>
  <c r="D39" i="1"/>
  <c r="E39" i="1" s="1"/>
  <c r="D38" i="1"/>
  <c r="D37" i="1"/>
  <c r="E37" i="1" s="1"/>
  <c r="D36" i="1"/>
  <c r="E36" i="1" s="1"/>
  <c r="B28" i="1"/>
  <c r="D27" i="1"/>
  <c r="E27" i="1" s="1"/>
  <c r="D26" i="1"/>
  <c r="D25" i="1"/>
  <c r="D24" i="1"/>
  <c r="E24" i="1" s="1"/>
  <c r="B21" i="10"/>
  <c r="M30" i="10"/>
  <c r="B87" i="10"/>
  <c r="B17" i="13" l="1"/>
  <c r="F18" i="10"/>
  <c r="N18" i="10" s="1"/>
  <c r="B18" i="13"/>
  <c r="F19" i="10"/>
  <c r="N19" i="10" s="1"/>
  <c r="B13" i="13"/>
  <c r="F14" i="10"/>
  <c r="N14" i="10" s="1"/>
  <c r="B12" i="13"/>
  <c r="F13" i="10"/>
  <c r="N13" i="10" s="1"/>
  <c r="B15" i="13"/>
  <c r="F16" i="10"/>
  <c r="N16" i="10" s="1"/>
  <c r="H39" i="1"/>
  <c r="H52" i="1"/>
  <c r="H40" i="1"/>
  <c r="H45" i="1"/>
  <c r="H46" i="1"/>
  <c r="H47" i="1"/>
  <c r="H48" i="1"/>
  <c r="O7" i="1"/>
  <c r="H27" i="1"/>
  <c r="H11" i="1"/>
  <c r="O8" i="1"/>
  <c r="H29" i="12"/>
  <c r="H21" i="12"/>
  <c r="H13" i="12"/>
  <c r="H31" i="12"/>
  <c r="H23" i="12"/>
  <c r="H15" i="12"/>
  <c r="H7" i="12"/>
  <c r="H26" i="12"/>
  <c r="H11" i="12"/>
  <c r="H9" i="12"/>
  <c r="H24" i="12"/>
  <c r="H18" i="12"/>
  <c r="H16" i="12"/>
  <c r="H27" i="12"/>
  <c r="H22" i="12"/>
  <c r="H20" i="12"/>
  <c r="H8" i="12"/>
  <c r="H30" i="12"/>
  <c r="H10" i="12"/>
  <c r="H25" i="12"/>
  <c r="H28" i="12"/>
  <c r="H12" i="12"/>
  <c r="H19" i="12"/>
  <c r="H14" i="12"/>
  <c r="H17" i="12"/>
  <c r="H35" i="1"/>
  <c r="H23" i="1"/>
  <c r="P7" i="1"/>
  <c r="P6" i="1"/>
  <c r="O6" i="1" s="1"/>
  <c r="H28" i="1"/>
  <c r="H34" i="1"/>
  <c r="H22" i="1"/>
  <c r="P5" i="1"/>
  <c r="O5" i="1" s="1"/>
  <c r="P8" i="1"/>
  <c r="E38" i="1"/>
  <c r="E40" i="1" s="1"/>
  <c r="H33" i="1"/>
  <c r="H36" i="1"/>
  <c r="H21" i="1"/>
  <c r="H24" i="1"/>
  <c r="E26" i="1"/>
  <c r="H12" i="1"/>
  <c r="E25" i="1"/>
  <c r="O35" i="10"/>
  <c r="B34" i="13"/>
  <c r="F83" i="10"/>
  <c r="B82" i="13"/>
  <c r="F63" i="10"/>
  <c r="B62" i="13"/>
  <c r="O24" i="10"/>
  <c r="B23" i="13"/>
  <c r="F26" i="10"/>
  <c r="B25" i="13"/>
  <c r="F33" i="10"/>
  <c r="B32" i="13"/>
  <c r="O43" i="10"/>
  <c r="B42" i="13"/>
  <c r="F52" i="10"/>
  <c r="B51" i="13"/>
  <c r="F54" i="10"/>
  <c r="B53" i="13"/>
  <c r="O56" i="10"/>
  <c r="B55" i="13"/>
  <c r="O58" i="10"/>
  <c r="B57" i="13"/>
  <c r="F60" i="10"/>
  <c r="B59" i="13"/>
  <c r="F74" i="10"/>
  <c r="B73" i="13"/>
  <c r="F76" i="10"/>
  <c r="B75" i="13"/>
  <c r="F30" i="10"/>
  <c r="B29" i="13"/>
  <c r="O49" i="10"/>
  <c r="B48" i="13"/>
  <c r="F36" i="10"/>
  <c r="B35" i="13"/>
  <c r="F46" i="10"/>
  <c r="B45" i="13"/>
  <c r="O48" i="10"/>
  <c r="B47" i="13"/>
  <c r="F25" i="10"/>
  <c r="B24" i="13"/>
  <c r="F27" i="10"/>
  <c r="B26" i="13"/>
  <c r="O29" i="10"/>
  <c r="B28" i="13"/>
  <c r="O40" i="10"/>
  <c r="B39" i="13"/>
  <c r="O42" i="10"/>
  <c r="B41" i="13"/>
  <c r="O51" i="10"/>
  <c r="B50" i="13"/>
  <c r="F57" i="10"/>
  <c r="B56" i="13"/>
  <c r="O59" i="10"/>
  <c r="B58" i="13"/>
  <c r="F61" i="10"/>
  <c r="B60" i="13"/>
  <c r="F67" i="10"/>
  <c r="B66" i="13"/>
  <c r="F75" i="10"/>
  <c r="B74" i="13"/>
  <c r="O77" i="10"/>
  <c r="B76" i="13"/>
  <c r="F79" i="10"/>
  <c r="B78" i="13"/>
  <c r="O81" i="10"/>
  <c r="B80" i="13"/>
  <c r="O20" i="10"/>
  <c r="B19" i="13"/>
  <c r="O17" i="10"/>
  <c r="B16" i="13"/>
  <c r="D40" i="1"/>
  <c r="B41" i="1" s="1"/>
  <c r="D28" i="1"/>
  <c r="B29" i="1" s="1"/>
  <c r="R30" i="10"/>
  <c r="C29" i="13" s="1"/>
  <c r="M64" i="10"/>
  <c r="O64" i="10" s="1"/>
  <c r="M62" i="10"/>
  <c r="M31" i="10"/>
  <c r="O68" i="10"/>
  <c r="F68" i="10"/>
  <c r="O37" i="10"/>
  <c r="F37" i="10"/>
  <c r="M34" i="10"/>
  <c r="M39" i="10"/>
  <c r="N10" i="10"/>
  <c r="O74" i="10"/>
  <c r="O27" i="10"/>
  <c r="O84" i="10"/>
  <c r="F84" i="10"/>
  <c r="O13" i="10"/>
  <c r="D89" i="10"/>
  <c r="O19" i="10"/>
  <c r="O14" i="10"/>
  <c r="F47" i="10"/>
  <c r="O47" i="10"/>
  <c r="F86" i="10"/>
  <c r="O86" i="10"/>
  <c r="F70" i="10"/>
  <c r="O70" i="10"/>
  <c r="O71" i="10"/>
  <c r="F71" i="10"/>
  <c r="O16" i="10"/>
  <c r="O36" i="10"/>
  <c r="F59" i="10"/>
  <c r="B89" i="10"/>
  <c r="O63" i="10"/>
  <c r="C89" i="10"/>
  <c r="M12" i="10"/>
  <c r="F12" i="10" s="1"/>
  <c r="O30" i="10"/>
  <c r="F77" i="10"/>
  <c r="O46" i="10"/>
  <c r="F49" i="10"/>
  <c r="F43" i="10"/>
  <c r="O75" i="10"/>
  <c r="O25" i="10"/>
  <c r="O26" i="10"/>
  <c r="F51" i="10"/>
  <c r="O52" i="10"/>
  <c r="F48" i="10"/>
  <c r="O57" i="10"/>
  <c r="F40" i="10"/>
  <c r="O38" i="10"/>
  <c r="F38" i="10"/>
  <c r="F45" i="10"/>
  <c r="O45" i="10"/>
  <c r="O55" i="10"/>
  <c r="F55" i="10"/>
  <c r="F78" i="10"/>
  <c r="O78" i="10"/>
  <c r="O73" i="10"/>
  <c r="F73" i="10"/>
  <c r="O28" i="10"/>
  <c r="F28" i="10"/>
  <c r="F32" i="10"/>
  <c r="O32" i="10"/>
  <c r="F53" i="10"/>
  <c r="O53" i="10"/>
  <c r="F66" i="10"/>
  <c r="O66" i="10"/>
  <c r="F50" i="10"/>
  <c r="O50" i="10"/>
  <c r="O85" i="10"/>
  <c r="F85" i="10"/>
  <c r="O41" i="10"/>
  <c r="F41" i="10"/>
  <c r="F44" i="10"/>
  <c r="O44" i="10"/>
  <c r="F80" i="10"/>
  <c r="O80" i="10"/>
  <c r="O82" i="10"/>
  <c r="F82" i="10"/>
  <c r="O83" i="10"/>
  <c r="O54" i="10"/>
  <c r="F56" i="10"/>
  <c r="F29" i="10"/>
  <c r="F24" i="10"/>
  <c r="F35" i="10"/>
  <c r="F58" i="10"/>
  <c r="O76" i="10"/>
  <c r="F42" i="10"/>
  <c r="O67" i="10"/>
  <c r="O79" i="10"/>
  <c r="F81" i="10"/>
  <c r="O60" i="10"/>
  <c r="O61" i="10"/>
  <c r="O33" i="10"/>
  <c r="O18" i="10"/>
  <c r="I6" i="12"/>
  <c r="N56" i="10" l="1"/>
  <c r="N44" i="10"/>
  <c r="N70" i="10"/>
  <c r="N37" i="10"/>
  <c r="R36" i="10"/>
  <c r="T36" i="10" s="1"/>
  <c r="N36" i="10"/>
  <c r="R74" i="10"/>
  <c r="G74" i="10" s="1"/>
  <c r="S74" i="10" s="1"/>
  <c r="N74" i="10"/>
  <c r="N26" i="10"/>
  <c r="N40" i="10"/>
  <c r="N84" i="10"/>
  <c r="N42" i="10"/>
  <c r="N78" i="10"/>
  <c r="N49" i="10"/>
  <c r="N86" i="10"/>
  <c r="R86" i="10" s="1"/>
  <c r="C85" i="13" s="1"/>
  <c r="N68" i="10"/>
  <c r="N60" i="10"/>
  <c r="N82" i="10"/>
  <c r="N48" i="10"/>
  <c r="N75" i="10"/>
  <c r="N24" i="10"/>
  <c r="N80" i="10"/>
  <c r="N50" i="10"/>
  <c r="N45" i="10"/>
  <c r="R46" i="10"/>
  <c r="C45" i="13" s="1"/>
  <c r="N46" i="10"/>
  <c r="N76" i="10"/>
  <c r="N33" i="10"/>
  <c r="R83" i="10"/>
  <c r="C82" i="13" s="1"/>
  <c r="N83" i="10"/>
  <c r="N66" i="10"/>
  <c r="R54" i="10"/>
  <c r="C53" i="13" s="1"/>
  <c r="N54" i="10"/>
  <c r="N41" i="10"/>
  <c r="N43" i="10"/>
  <c r="R79" i="10"/>
  <c r="C78" i="13" s="1"/>
  <c r="N79" i="10"/>
  <c r="R61" i="10"/>
  <c r="C60" i="13" s="1"/>
  <c r="N61" i="10"/>
  <c r="R25" i="10"/>
  <c r="T25" i="10" s="1"/>
  <c r="N25" i="10"/>
  <c r="N53" i="10"/>
  <c r="N59" i="10"/>
  <c r="R52" i="10"/>
  <c r="G52" i="10" s="1"/>
  <c r="N52" i="10"/>
  <c r="N85" i="10"/>
  <c r="N55" i="10"/>
  <c r="N58" i="10"/>
  <c r="N32" i="10"/>
  <c r="N77" i="10"/>
  <c r="N47" i="10"/>
  <c r="N30" i="10"/>
  <c r="R63" i="10"/>
  <c r="C62" i="13" s="1"/>
  <c r="N63" i="10"/>
  <c r="N35" i="10"/>
  <c r="N28" i="10"/>
  <c r="N51" i="10"/>
  <c r="N71" i="10"/>
  <c r="R57" i="10"/>
  <c r="N57" i="10"/>
  <c r="N81" i="10"/>
  <c r="N29" i="10"/>
  <c r="N73" i="10"/>
  <c r="N38" i="10"/>
  <c r="R67" i="10"/>
  <c r="C66" i="13" s="1"/>
  <c r="N67" i="10"/>
  <c r="R27" i="10"/>
  <c r="C26" i="13" s="1"/>
  <c r="N27" i="10"/>
  <c r="H37" i="1"/>
  <c r="H38" i="1" s="1"/>
  <c r="C15" i="8" s="1"/>
  <c r="H25" i="1"/>
  <c r="H26" i="1" s="1"/>
  <c r="H49" i="1"/>
  <c r="H50" i="1" s="1"/>
  <c r="D15" i="8" s="1"/>
  <c r="E28" i="1"/>
  <c r="I26" i="12"/>
  <c r="I18" i="12"/>
  <c r="I10" i="12"/>
  <c r="I28" i="12"/>
  <c r="I20" i="12"/>
  <c r="I12" i="12"/>
  <c r="I24" i="12"/>
  <c r="I22" i="12"/>
  <c r="I7" i="12"/>
  <c r="I31" i="12"/>
  <c r="I16" i="12"/>
  <c r="I14" i="12"/>
  <c r="I29" i="12"/>
  <c r="I27" i="12"/>
  <c r="I25" i="12"/>
  <c r="I15" i="12"/>
  <c r="I8" i="12"/>
  <c r="I11" i="12"/>
  <c r="I13" i="12"/>
  <c r="I30" i="12"/>
  <c r="I23" i="12"/>
  <c r="I9" i="12"/>
  <c r="I21" i="12"/>
  <c r="I19" i="12"/>
  <c r="I17" i="12"/>
  <c r="H7" i="1"/>
  <c r="H8" i="1"/>
  <c r="P9" i="1"/>
  <c r="P10" i="1" s="1"/>
  <c r="O9" i="1"/>
  <c r="H5" i="1"/>
  <c r="H6" i="1"/>
  <c r="R26" i="10"/>
  <c r="G26" i="10" s="1"/>
  <c r="W26" i="10" s="1"/>
  <c r="T30" i="10"/>
  <c r="R33" i="10"/>
  <c r="C32" i="13" s="1"/>
  <c r="G30" i="10"/>
  <c r="W30" i="10" s="1"/>
  <c r="G57" i="10"/>
  <c r="W57" i="10" s="1"/>
  <c r="C56" i="13"/>
  <c r="T57" i="10"/>
  <c r="F34" i="10"/>
  <c r="B33" i="13"/>
  <c r="O62" i="10"/>
  <c r="R62" i="10" s="1"/>
  <c r="C61" i="13" s="1"/>
  <c r="B61" i="13"/>
  <c r="O31" i="10"/>
  <c r="B30" i="13"/>
  <c r="F62" i="10"/>
  <c r="F39" i="10"/>
  <c r="B38" i="13"/>
  <c r="F64" i="10"/>
  <c r="B63" i="13"/>
  <c r="O10" i="10"/>
  <c r="B9" i="13"/>
  <c r="N12" i="10"/>
  <c r="B11" i="13"/>
  <c r="C10" i="13"/>
  <c r="D10" i="13"/>
  <c r="B10" i="13"/>
  <c r="R24" i="10"/>
  <c r="C23" i="13" s="1"/>
  <c r="O39" i="10"/>
  <c r="R81" i="10"/>
  <c r="C80" i="13" s="1"/>
  <c r="R29" i="10"/>
  <c r="R41" i="10"/>
  <c r="C40" i="13" s="1"/>
  <c r="R85" i="10"/>
  <c r="C84" i="13" s="1"/>
  <c r="R55" i="10"/>
  <c r="R38" i="10"/>
  <c r="R40" i="10"/>
  <c r="C39" i="13" s="1"/>
  <c r="F31" i="10"/>
  <c r="R20" i="10"/>
  <c r="R77" i="10"/>
  <c r="R59" i="10"/>
  <c r="C58" i="13" s="1"/>
  <c r="R71" i="10"/>
  <c r="C70" i="13" s="1"/>
  <c r="R42" i="10"/>
  <c r="C41" i="13" s="1"/>
  <c r="R78" i="10"/>
  <c r="C77" i="13" s="1"/>
  <c r="R70" i="10"/>
  <c r="C69" i="13" s="1"/>
  <c r="R19" i="10"/>
  <c r="R68" i="10"/>
  <c r="C67" i="13" s="1"/>
  <c r="R56" i="10"/>
  <c r="C55" i="13" s="1"/>
  <c r="R43" i="10"/>
  <c r="R14" i="10"/>
  <c r="R13" i="10"/>
  <c r="R37" i="10"/>
  <c r="R82" i="10"/>
  <c r="T82" i="10" s="1"/>
  <c r="R50" i="10"/>
  <c r="C49" i="13" s="1"/>
  <c r="R53" i="10"/>
  <c r="R73" i="10"/>
  <c r="C72" i="13" s="1"/>
  <c r="R45" i="10"/>
  <c r="C44" i="13" s="1"/>
  <c r="R47" i="10"/>
  <c r="C46" i="13" s="1"/>
  <c r="R84" i="10"/>
  <c r="R58" i="10"/>
  <c r="C57" i="13" s="1"/>
  <c r="R44" i="10"/>
  <c r="R66" i="10"/>
  <c r="R32" i="10"/>
  <c r="C31" i="13" s="1"/>
  <c r="R51" i="10"/>
  <c r="R18" i="10"/>
  <c r="G18" i="10" s="1"/>
  <c r="R35" i="10"/>
  <c r="C34" i="13" s="1"/>
  <c r="R80" i="10"/>
  <c r="R48" i="10"/>
  <c r="C47" i="13" s="1"/>
  <c r="R17" i="10"/>
  <c r="G17" i="10" s="1"/>
  <c r="R49" i="10"/>
  <c r="C48" i="13" s="1"/>
  <c r="W74" i="10"/>
  <c r="R16" i="10"/>
  <c r="O34" i="10"/>
  <c r="O11" i="10"/>
  <c r="R76" i="10"/>
  <c r="G76" i="10" s="1"/>
  <c r="S76" i="10" s="1"/>
  <c r="R60" i="10"/>
  <c r="O12" i="10"/>
  <c r="R75" i="10"/>
  <c r="C74" i="13" s="1"/>
  <c r="R28" i="10"/>
  <c r="C27" i="13" s="1"/>
  <c r="J6" i="12"/>
  <c r="T46" i="10"/>
  <c r="S30" i="10" l="1"/>
  <c r="G79" i="10"/>
  <c r="S79" i="10" s="1"/>
  <c r="T79" i="10"/>
  <c r="G36" i="10"/>
  <c r="S36" i="10" s="1"/>
  <c r="C73" i="13"/>
  <c r="T74" i="10"/>
  <c r="G61" i="10"/>
  <c r="S61" i="10" s="1"/>
  <c r="T61" i="10"/>
  <c r="S26" i="10"/>
  <c r="T27" i="10"/>
  <c r="R12" i="10"/>
  <c r="G12" i="10" s="1"/>
  <c r="S12" i="10" s="1"/>
  <c r="G63" i="10"/>
  <c r="S63" i="10" s="1"/>
  <c r="T54" i="10"/>
  <c r="G54" i="10"/>
  <c r="S54" i="10" s="1"/>
  <c r="G67" i="10"/>
  <c r="S67" i="10" s="1"/>
  <c r="T67" i="10"/>
  <c r="W52" i="10"/>
  <c r="H52" i="10" s="1"/>
  <c r="S52" i="10"/>
  <c r="G13" i="10"/>
  <c r="S13" i="10" s="1"/>
  <c r="T63" i="10"/>
  <c r="S57" i="10"/>
  <c r="T52" i="10"/>
  <c r="R34" i="10"/>
  <c r="G34" i="10" s="1"/>
  <c r="N34" i="10"/>
  <c r="C35" i="13"/>
  <c r="C15" i="13"/>
  <c r="G16" i="10"/>
  <c r="S16" i="10" s="1"/>
  <c r="R39" i="10"/>
  <c r="C38" i="13" s="1"/>
  <c r="N39" i="10"/>
  <c r="C24" i="13"/>
  <c r="C19" i="13"/>
  <c r="G20" i="10"/>
  <c r="S20" i="10" s="1"/>
  <c r="C51" i="13"/>
  <c r="R64" i="10"/>
  <c r="N64" i="10"/>
  <c r="C13" i="13"/>
  <c r="G14" i="10"/>
  <c r="S14" i="10" s="1"/>
  <c r="T83" i="10"/>
  <c r="N62" i="10"/>
  <c r="G25" i="10"/>
  <c r="G83" i="10"/>
  <c r="S83" i="10" s="1"/>
  <c r="C18" i="13"/>
  <c r="G19" i="10"/>
  <c r="N31" i="10"/>
  <c r="G27" i="10"/>
  <c r="S27" i="10" s="1"/>
  <c r="G46" i="10"/>
  <c r="S46" i="10" s="1"/>
  <c r="K21" i="1"/>
  <c r="B15" i="8"/>
  <c r="K45" i="1"/>
  <c r="K46" i="1" s="1"/>
  <c r="K47" i="1" s="1"/>
  <c r="K48" i="1" s="1"/>
  <c r="W9" i="10"/>
  <c r="K33" i="1"/>
  <c r="K34" i="1" s="1"/>
  <c r="K35" i="1" s="1"/>
  <c r="R9" i="10"/>
  <c r="R10" i="10"/>
  <c r="J31" i="12"/>
  <c r="J23" i="12"/>
  <c r="J15" i="12"/>
  <c r="J7" i="12"/>
  <c r="J25" i="12"/>
  <c r="J17" i="12"/>
  <c r="J9" i="12"/>
  <c r="J20" i="12"/>
  <c r="J29" i="12"/>
  <c r="J27" i="12"/>
  <c r="J12" i="12"/>
  <c r="J8" i="12"/>
  <c r="J30" i="12"/>
  <c r="J14" i="12"/>
  <c r="J13" i="12"/>
  <c r="J28" i="12"/>
  <c r="J18" i="12"/>
  <c r="J10" i="12"/>
  <c r="J26" i="12"/>
  <c r="J21" i="12"/>
  <c r="J16" i="12"/>
  <c r="J11" i="12"/>
  <c r="J24" i="12"/>
  <c r="J22" i="12"/>
  <c r="J19" i="12"/>
  <c r="H9" i="1"/>
  <c r="H10" i="1" s="1"/>
  <c r="O10" i="1"/>
  <c r="G33" i="10"/>
  <c r="T68" i="10"/>
  <c r="T26" i="10"/>
  <c r="C25" i="13"/>
  <c r="T47" i="10"/>
  <c r="C43" i="13"/>
  <c r="T44" i="10"/>
  <c r="G85" i="10"/>
  <c r="T85" i="10"/>
  <c r="T33" i="10"/>
  <c r="T62" i="10"/>
  <c r="G62" i="10"/>
  <c r="W62" i="10" s="1"/>
  <c r="G47" i="10"/>
  <c r="T19" i="10"/>
  <c r="G55" i="10"/>
  <c r="C54" i="13"/>
  <c r="C50" i="13"/>
  <c r="T51" i="10"/>
  <c r="G51" i="10"/>
  <c r="G29" i="10"/>
  <c r="C28" i="13"/>
  <c r="G66" i="10"/>
  <c r="S66" i="10" s="1"/>
  <c r="C65" i="13"/>
  <c r="G43" i="10"/>
  <c r="C42" i="13"/>
  <c r="T43" i="10"/>
  <c r="C52" i="13"/>
  <c r="T53" i="10"/>
  <c r="G53" i="10"/>
  <c r="C76" i="13"/>
  <c r="G77" i="10"/>
  <c r="T77" i="10"/>
  <c r="H74" i="10"/>
  <c r="D73" i="13"/>
  <c r="G84" i="10"/>
  <c r="C83" i="13"/>
  <c r="T38" i="10"/>
  <c r="C37" i="13"/>
  <c r="G44" i="10"/>
  <c r="T20" i="10"/>
  <c r="G68" i="10"/>
  <c r="S68" i="10" s="1"/>
  <c r="G80" i="10"/>
  <c r="C79" i="13"/>
  <c r="T76" i="10"/>
  <c r="C75" i="13"/>
  <c r="H30" i="10"/>
  <c r="D29" i="13"/>
  <c r="H57" i="10"/>
  <c r="D56" i="13"/>
  <c r="G82" i="10"/>
  <c r="C81" i="13"/>
  <c r="G60" i="10"/>
  <c r="C59" i="13"/>
  <c r="H26" i="10"/>
  <c r="D25" i="13"/>
  <c r="C63" i="13"/>
  <c r="G37" i="10"/>
  <c r="C36" i="13"/>
  <c r="C16" i="13"/>
  <c r="C17" i="13"/>
  <c r="T13" i="10"/>
  <c r="C12" i="13"/>
  <c r="T11" i="10"/>
  <c r="G35" i="10"/>
  <c r="T35" i="10"/>
  <c r="T45" i="10"/>
  <c r="G45" i="10"/>
  <c r="S45" i="10" s="1"/>
  <c r="T14" i="10"/>
  <c r="T41" i="10"/>
  <c r="G41" i="10"/>
  <c r="S41" i="10" s="1"/>
  <c r="G48" i="10"/>
  <c r="S48" i="10" s="1"/>
  <c r="T48" i="10"/>
  <c r="G50" i="10"/>
  <c r="S50" i="10" s="1"/>
  <c r="T50" i="10"/>
  <c r="G86" i="10"/>
  <c r="S86" i="10" s="1"/>
  <c r="T86" i="10"/>
  <c r="T71" i="10"/>
  <c r="G71" i="10"/>
  <c r="S71" i="10" s="1"/>
  <c r="G24" i="10"/>
  <c r="S24" i="10" s="1"/>
  <c r="T24" i="10"/>
  <c r="T49" i="10"/>
  <c r="G49" i="10"/>
  <c r="S49" i="10" s="1"/>
  <c r="G58" i="10"/>
  <c r="S58" i="10" s="1"/>
  <c r="T58" i="10"/>
  <c r="T78" i="10"/>
  <c r="G78" i="10"/>
  <c r="S78" i="10" s="1"/>
  <c r="T59" i="10"/>
  <c r="G59" i="10"/>
  <c r="S59" i="10" s="1"/>
  <c r="G40" i="10"/>
  <c r="S40" i="10" s="1"/>
  <c r="T40" i="10"/>
  <c r="G81" i="10"/>
  <c r="S81" i="10" s="1"/>
  <c r="T81" i="10"/>
  <c r="T29" i="10"/>
  <c r="T37" i="10"/>
  <c r="W83" i="10"/>
  <c r="W36" i="10"/>
  <c r="G70" i="10"/>
  <c r="S70" i="10" s="1"/>
  <c r="T70" i="10"/>
  <c r="W63" i="10"/>
  <c r="R31" i="10"/>
  <c r="C30" i="13" s="1"/>
  <c r="W27" i="10"/>
  <c r="W46" i="10"/>
  <c r="W61" i="10"/>
  <c r="W79" i="10"/>
  <c r="T18" i="10"/>
  <c r="T66" i="10"/>
  <c r="T84" i="10"/>
  <c r="W13" i="10"/>
  <c r="H13" i="10" s="1"/>
  <c r="T17" i="10"/>
  <c r="W54" i="10"/>
  <c r="T16" i="10"/>
  <c r="T60" i="10"/>
  <c r="T55" i="10"/>
  <c r="T80" i="10"/>
  <c r="G73" i="10"/>
  <c r="S73" i="10" s="1"/>
  <c r="T73" i="10"/>
  <c r="G75" i="10"/>
  <c r="S75" i="10" s="1"/>
  <c r="T75" i="10"/>
  <c r="G38" i="10"/>
  <c r="S38" i="10" s="1"/>
  <c r="G42" i="10"/>
  <c r="S42" i="10" s="1"/>
  <c r="T42" i="10"/>
  <c r="T28" i="10"/>
  <c r="G28" i="10"/>
  <c r="S28" i="10" s="1"/>
  <c r="W76" i="10"/>
  <c r="G32" i="10"/>
  <c r="S32" i="10" s="1"/>
  <c r="T32" i="10"/>
  <c r="G56" i="10"/>
  <c r="S56" i="10" s="1"/>
  <c r="T56" i="10"/>
  <c r="K6" i="12"/>
  <c r="G39" i="10" l="1"/>
  <c r="S39" i="10" s="1"/>
  <c r="T39" i="10"/>
  <c r="D51" i="13"/>
  <c r="T12" i="10"/>
  <c r="C11" i="13"/>
  <c r="C14" i="8"/>
  <c r="G64" i="10"/>
  <c r="S64" i="10" s="1"/>
  <c r="W34" i="10"/>
  <c r="H34" i="10" s="1"/>
  <c r="S34" i="10"/>
  <c r="W82" i="10"/>
  <c r="H82" i="10" s="1"/>
  <c r="S82" i="10"/>
  <c r="W80" i="10"/>
  <c r="H80" i="10" s="1"/>
  <c r="S80" i="10"/>
  <c r="W29" i="10"/>
  <c r="D28" i="13" s="1"/>
  <c r="S29" i="10"/>
  <c r="W25" i="10"/>
  <c r="S25" i="10"/>
  <c r="W84" i="10"/>
  <c r="D83" i="13" s="1"/>
  <c r="S84" i="10"/>
  <c r="W51" i="10"/>
  <c r="H51" i="10" s="1"/>
  <c r="S51" i="10"/>
  <c r="W47" i="10"/>
  <c r="H47" i="10" s="1"/>
  <c r="S47" i="10"/>
  <c r="S62" i="10"/>
  <c r="C9" i="13"/>
  <c r="G10" i="10"/>
  <c r="S10" i="10" s="1"/>
  <c r="T64" i="10"/>
  <c r="W44" i="10"/>
  <c r="H44" i="10" s="1"/>
  <c r="S44" i="10"/>
  <c r="T34" i="10"/>
  <c r="C33" i="13"/>
  <c r="W37" i="10"/>
  <c r="H37" i="10" s="1"/>
  <c r="S37" i="10"/>
  <c r="W77" i="10"/>
  <c r="H77" i="10" s="1"/>
  <c r="S77" i="10"/>
  <c r="W53" i="10"/>
  <c r="H53" i="10" s="1"/>
  <c r="S53" i="10"/>
  <c r="W55" i="10"/>
  <c r="H55" i="10" s="1"/>
  <c r="S55" i="10"/>
  <c r="W60" i="10"/>
  <c r="H60" i="10" s="1"/>
  <c r="S60" i="10"/>
  <c r="W43" i="10"/>
  <c r="S43" i="10"/>
  <c r="W35" i="10"/>
  <c r="H35" i="10" s="1"/>
  <c r="S35" i="10"/>
  <c r="W85" i="10"/>
  <c r="D84" i="13" s="1"/>
  <c r="S85" i="10"/>
  <c r="W33" i="10"/>
  <c r="H33" i="10" s="1"/>
  <c r="S33" i="10"/>
  <c r="W18" i="10"/>
  <c r="H18" i="10" s="1"/>
  <c r="S18" i="10"/>
  <c r="W17" i="10"/>
  <c r="H17" i="10" s="1"/>
  <c r="S17" i="10"/>
  <c r="W19" i="10"/>
  <c r="H19" i="10" s="1"/>
  <c r="S19" i="10"/>
  <c r="T10" i="10"/>
  <c r="K49" i="1"/>
  <c r="K16" i="1"/>
  <c r="K17" i="1" s="1"/>
  <c r="H17" i="1"/>
  <c r="M9" i="10" s="1"/>
  <c r="B14" i="8" s="1"/>
  <c r="K22" i="1"/>
  <c r="K23" i="1" s="1"/>
  <c r="K28" i="12"/>
  <c r="K20" i="12"/>
  <c r="K12" i="12"/>
  <c r="K30" i="12"/>
  <c r="K22" i="12"/>
  <c r="K14" i="12"/>
  <c r="K18" i="12"/>
  <c r="K16" i="12"/>
  <c r="K31" i="12"/>
  <c r="K29" i="12"/>
  <c r="K27" i="12"/>
  <c r="K25" i="12"/>
  <c r="K10" i="12"/>
  <c r="K8" i="12"/>
  <c r="K23" i="12"/>
  <c r="K21" i="12"/>
  <c r="K19" i="12"/>
  <c r="K7" i="12"/>
  <c r="K9" i="12"/>
  <c r="K17" i="12"/>
  <c r="K26" i="12"/>
  <c r="K11" i="12"/>
  <c r="K13" i="12"/>
  <c r="K24" i="12"/>
  <c r="K15" i="12"/>
  <c r="K36" i="1"/>
  <c r="K37" i="1" s="1"/>
  <c r="K7" i="1"/>
  <c r="W20" i="10"/>
  <c r="H20" i="10" s="1"/>
  <c r="H43" i="10"/>
  <c r="D42" i="13"/>
  <c r="H27" i="10"/>
  <c r="D26" i="13"/>
  <c r="D76" i="13"/>
  <c r="H63" i="10"/>
  <c r="D62" i="13"/>
  <c r="H83" i="10"/>
  <c r="D82" i="13"/>
  <c r="H61" i="10"/>
  <c r="D60" i="13"/>
  <c r="H66" i="10"/>
  <c r="D65" i="13"/>
  <c r="H79" i="10"/>
  <c r="D78" i="13"/>
  <c r="H68" i="10"/>
  <c r="D67" i="13"/>
  <c r="H54" i="10"/>
  <c r="D53" i="13"/>
  <c r="H84" i="10"/>
  <c r="H67" i="10"/>
  <c r="D66" i="13"/>
  <c r="D33" i="13"/>
  <c r="H62" i="10"/>
  <c r="D61" i="13"/>
  <c r="H36" i="10"/>
  <c r="D35" i="13"/>
  <c r="H76" i="10"/>
  <c r="D75" i="13"/>
  <c r="H46" i="10"/>
  <c r="D45" i="13"/>
  <c r="D12" i="13"/>
  <c r="W78" i="10"/>
  <c r="W14" i="10"/>
  <c r="H14" i="10" s="1"/>
  <c r="W10" i="10"/>
  <c r="W42" i="10"/>
  <c r="W75" i="10"/>
  <c r="W40" i="10"/>
  <c r="W86" i="10"/>
  <c r="W48" i="10"/>
  <c r="W56" i="10"/>
  <c r="W32" i="10"/>
  <c r="W28" i="10"/>
  <c r="W38" i="10"/>
  <c r="G31" i="10"/>
  <c r="S31" i="10" s="1"/>
  <c r="T31" i="10"/>
  <c r="W59" i="10"/>
  <c r="W49" i="10"/>
  <c r="W41" i="10"/>
  <c r="W45" i="10"/>
  <c r="W39" i="10"/>
  <c r="W12" i="10"/>
  <c r="H12" i="10" s="1"/>
  <c r="W81" i="10"/>
  <c r="W58" i="10"/>
  <c r="W50" i="10"/>
  <c r="W16" i="10"/>
  <c r="L6" i="12"/>
  <c r="D32" i="13" l="1"/>
  <c r="D79" i="13"/>
  <c r="D18" i="13"/>
  <c r="D81" i="13"/>
  <c r="D34" i="13"/>
  <c r="D52" i="13"/>
  <c r="D50" i="13"/>
  <c r="D36" i="13"/>
  <c r="D16" i="13"/>
  <c r="H10" i="10"/>
  <c r="D14" i="8"/>
  <c r="D17" i="13"/>
  <c r="D59" i="13"/>
  <c r="D54" i="13"/>
  <c r="D43" i="13"/>
  <c r="D46" i="13"/>
  <c r="H29" i="10"/>
  <c r="H85" i="10"/>
  <c r="D15" i="13"/>
  <c r="H16" i="10"/>
  <c r="D24" i="13"/>
  <c r="H25" i="10"/>
  <c r="K18" i="1"/>
  <c r="K8" i="1"/>
  <c r="K9" i="1" s="1"/>
  <c r="K24" i="1"/>
  <c r="L25" i="12"/>
  <c r="L17" i="12"/>
  <c r="L9" i="12"/>
  <c r="L27" i="12"/>
  <c r="L19" i="12"/>
  <c r="L11" i="12"/>
  <c r="L31" i="12"/>
  <c r="L29" i="12"/>
  <c r="L14" i="12"/>
  <c r="L23" i="12"/>
  <c r="L21" i="12"/>
  <c r="L30" i="12"/>
  <c r="L20" i="12"/>
  <c r="L26" i="12"/>
  <c r="L18" i="12"/>
  <c r="L10" i="12"/>
  <c r="L28" i="12"/>
  <c r="L8" i="12"/>
  <c r="L16" i="12"/>
  <c r="L13" i="12"/>
  <c r="L12" i="12"/>
  <c r="L24" i="12"/>
  <c r="L22" i="12"/>
  <c r="L15" i="12"/>
  <c r="L7" i="12"/>
  <c r="D19" i="13"/>
  <c r="H40" i="10"/>
  <c r="D39" i="13"/>
  <c r="H28" i="10"/>
  <c r="D27" i="13"/>
  <c r="H86" i="10"/>
  <c r="D85" i="13"/>
  <c r="H73" i="10"/>
  <c r="D72" i="13"/>
  <c r="H42" i="10"/>
  <c r="D41" i="13"/>
  <c r="H50" i="10"/>
  <c r="D49" i="13"/>
  <c r="H71" i="10"/>
  <c r="D70" i="13"/>
  <c r="H56" i="10"/>
  <c r="D55" i="13"/>
  <c r="H70" i="10"/>
  <c r="D69" i="13"/>
  <c r="H48" i="10"/>
  <c r="D47" i="13"/>
  <c r="H58" i="10"/>
  <c r="D57" i="13"/>
  <c r="H39" i="10"/>
  <c r="D38" i="13"/>
  <c r="H49" i="10"/>
  <c r="D48" i="13"/>
  <c r="H32" i="10"/>
  <c r="D31" i="13"/>
  <c r="H75" i="10"/>
  <c r="D74" i="13"/>
  <c r="H41" i="10"/>
  <c r="D40" i="13"/>
  <c r="H81" i="10"/>
  <c r="D80" i="13"/>
  <c r="H45" i="10"/>
  <c r="D44" i="13"/>
  <c r="H59" i="10"/>
  <c r="D58" i="13"/>
  <c r="H38" i="10"/>
  <c r="D37" i="13"/>
  <c r="H64" i="10"/>
  <c r="D63" i="13"/>
  <c r="H78" i="10"/>
  <c r="D77" i="13"/>
  <c r="D13" i="13"/>
  <c r="D11" i="13"/>
  <c r="D9" i="13"/>
  <c r="W31" i="10"/>
  <c r="W24" i="10"/>
  <c r="M6" i="12"/>
  <c r="K25" i="1" l="1"/>
  <c r="O9" i="10"/>
  <c r="M30" i="12"/>
  <c r="M22" i="12"/>
  <c r="M14" i="12"/>
  <c r="M24" i="12"/>
  <c r="M16" i="12"/>
  <c r="M8" i="12"/>
  <c r="M27" i="12"/>
  <c r="M12" i="12"/>
  <c r="M10" i="12"/>
  <c r="M25" i="12"/>
  <c r="M19" i="12"/>
  <c r="M17" i="12"/>
  <c r="M15" i="12"/>
  <c r="M26" i="12"/>
  <c r="M18" i="12"/>
  <c r="M9" i="12"/>
  <c r="M23" i="12"/>
  <c r="M11" i="12"/>
  <c r="M31" i="12"/>
  <c r="M21" i="12"/>
  <c r="M13" i="12"/>
  <c r="M29" i="12"/>
  <c r="M28" i="12"/>
  <c r="M7" i="12"/>
  <c r="M20" i="12"/>
  <c r="H24" i="10"/>
  <c r="D23" i="13"/>
  <c r="H31" i="10"/>
  <c r="D30" i="13"/>
  <c r="N6" i="12"/>
  <c r="F9" i="10" l="1"/>
  <c r="B8" i="13"/>
  <c r="N27" i="12"/>
  <c r="N19" i="12"/>
  <c r="N11" i="12"/>
  <c r="N29" i="12"/>
  <c r="N21" i="12"/>
  <c r="N13" i="12"/>
  <c r="N25" i="12"/>
  <c r="N23" i="12"/>
  <c r="N8" i="12"/>
  <c r="N17" i="12"/>
  <c r="N15" i="12"/>
  <c r="N30" i="12"/>
  <c r="N28" i="12"/>
  <c r="N26" i="12"/>
  <c r="N10" i="12"/>
  <c r="N16" i="12"/>
  <c r="N22" i="12"/>
  <c r="N12" i="12"/>
  <c r="N24" i="12"/>
  <c r="N14" i="12"/>
  <c r="N31" i="12"/>
  <c r="N20" i="12"/>
  <c r="N18" i="12"/>
  <c r="N9" i="12"/>
  <c r="N7" i="12"/>
  <c r="O6" i="12"/>
  <c r="N9" i="10" l="1"/>
  <c r="O24" i="12"/>
  <c r="O16" i="12"/>
  <c r="O8" i="12"/>
  <c r="O26" i="12"/>
  <c r="O18" i="12"/>
  <c r="O10" i="12"/>
  <c r="O21" i="12"/>
  <c r="O30" i="12"/>
  <c r="O28" i="12"/>
  <c r="O13" i="12"/>
  <c r="O23" i="12"/>
  <c r="O11" i="12"/>
  <c r="O12" i="12"/>
  <c r="O7" i="12"/>
  <c r="O29" i="12"/>
  <c r="O25" i="12"/>
  <c r="O19" i="12"/>
  <c r="O14" i="12"/>
  <c r="O22" i="12"/>
  <c r="O17" i="12"/>
  <c r="O20" i="12"/>
  <c r="O31" i="12"/>
  <c r="O15" i="12"/>
  <c r="O9" i="12"/>
  <c r="O27" i="12"/>
  <c r="C8" i="13"/>
  <c r="P6" i="12"/>
  <c r="P29" i="12" l="1"/>
  <c r="P21" i="12"/>
  <c r="P13" i="12"/>
  <c r="P31" i="12"/>
  <c r="P23" i="12"/>
  <c r="P15" i="12"/>
  <c r="P7" i="12"/>
  <c r="P19" i="12"/>
  <c r="P17" i="12"/>
  <c r="P30" i="12"/>
  <c r="P28" i="12"/>
  <c r="P26" i="12"/>
  <c r="P11" i="12"/>
  <c r="P9" i="12"/>
  <c r="P24" i="12"/>
  <c r="P22" i="12"/>
  <c r="P20" i="12"/>
  <c r="P16" i="12"/>
  <c r="P12" i="12"/>
  <c r="P10" i="12"/>
  <c r="P25" i="12"/>
  <c r="P14" i="12"/>
  <c r="P18" i="12"/>
  <c r="P8" i="12"/>
  <c r="P27" i="12"/>
  <c r="T9" i="10"/>
  <c r="G9" i="10"/>
  <c r="S9" i="10" s="1"/>
  <c r="Q6" i="12"/>
  <c r="D8" i="13"/>
  <c r="H9" i="10"/>
  <c r="Q26" i="12" l="1"/>
  <c r="Q18" i="12"/>
  <c r="Q10" i="12"/>
  <c r="Q28" i="12"/>
  <c r="Q20" i="12"/>
  <c r="Q12" i="12"/>
  <c r="Q30" i="12"/>
  <c r="Q15" i="12"/>
  <c r="Q24" i="12"/>
  <c r="Q22" i="12"/>
  <c r="Q7" i="12"/>
  <c r="Q29" i="12"/>
  <c r="Q25" i="12"/>
  <c r="Q21" i="12"/>
  <c r="Q14" i="12"/>
  <c r="Q13" i="12"/>
  <c r="Q8" i="12"/>
  <c r="Q23" i="12"/>
  <c r="Q19" i="12"/>
  <c r="Q31" i="12"/>
  <c r="Q9" i="12"/>
  <c r="Q16" i="12"/>
  <c r="Q17" i="12"/>
  <c r="Q27" i="12"/>
  <c r="Q11" i="12"/>
  <c r="R6" i="12"/>
  <c r="R31" i="12" l="1"/>
  <c r="R23" i="12"/>
  <c r="R15" i="12"/>
  <c r="R7" i="12"/>
  <c r="R25" i="12"/>
  <c r="R17" i="12"/>
  <c r="R9" i="12"/>
  <c r="R28" i="12"/>
  <c r="R13" i="12"/>
  <c r="R11" i="12"/>
  <c r="R26" i="12"/>
  <c r="R24" i="12"/>
  <c r="R20" i="12"/>
  <c r="R18" i="12"/>
  <c r="R16" i="12"/>
  <c r="R29" i="12"/>
  <c r="R21" i="12"/>
  <c r="R14" i="12"/>
  <c r="R19" i="12"/>
  <c r="R10" i="12"/>
  <c r="R12" i="12"/>
  <c r="R22" i="12"/>
  <c r="R27" i="12"/>
  <c r="R30" i="12"/>
  <c r="R8" i="12"/>
  <c r="S6" i="12"/>
  <c r="S28" i="12" l="1"/>
  <c r="S20" i="12"/>
  <c r="S12" i="12"/>
  <c r="S30" i="12"/>
  <c r="S22" i="12"/>
  <c r="S14" i="12"/>
  <c r="S26" i="12"/>
  <c r="S24" i="12"/>
  <c r="S9" i="12"/>
  <c r="S18" i="12"/>
  <c r="S16" i="12"/>
  <c r="S31" i="12"/>
  <c r="S29" i="12"/>
  <c r="S27" i="12"/>
  <c r="S25" i="12"/>
  <c r="S19" i="12"/>
  <c r="S13" i="12"/>
  <c r="S15" i="12"/>
  <c r="S10" i="12"/>
  <c r="S23" i="12"/>
  <c r="S11" i="12"/>
  <c r="S21" i="12"/>
  <c r="S17" i="12"/>
  <c r="S8" i="12"/>
  <c r="S7" i="12"/>
  <c r="T6" i="12"/>
  <c r="T25" i="12" l="1"/>
  <c r="T17" i="12"/>
  <c r="T9" i="12"/>
  <c r="T27" i="12"/>
  <c r="T19" i="12"/>
  <c r="T11" i="12"/>
  <c r="T22" i="12"/>
  <c r="T7" i="12"/>
  <c r="T31" i="12"/>
  <c r="T29" i="12"/>
  <c r="T14" i="12"/>
  <c r="T23" i="12"/>
  <c r="T18" i="12"/>
  <c r="T30" i="12"/>
  <c r="T21" i="12"/>
  <c r="T8" i="12"/>
  <c r="T28" i="12"/>
  <c r="T24" i="12"/>
  <c r="T15" i="12"/>
  <c r="T20" i="12"/>
  <c r="T10" i="12"/>
  <c r="T16" i="12"/>
  <c r="T26" i="12"/>
  <c r="T12" i="12"/>
  <c r="T13" i="12"/>
  <c r="U6" i="12"/>
  <c r="V6" i="12" s="1"/>
  <c r="V27" i="12" l="1"/>
  <c r="V19" i="12"/>
  <c r="V11" i="12"/>
  <c r="V29" i="12"/>
  <c r="V21" i="12"/>
  <c r="V13" i="12"/>
  <c r="V31" i="12"/>
  <c r="V16" i="12"/>
  <c r="V25" i="12"/>
  <c r="V23" i="12"/>
  <c r="V8" i="12"/>
  <c r="V17" i="12"/>
  <c r="V28" i="12"/>
  <c r="V15" i="12"/>
  <c r="V7" i="12"/>
  <c r="V24" i="12"/>
  <c r="V22" i="12"/>
  <c r="V20" i="12"/>
  <c r="V10" i="12"/>
  <c r="V9" i="12"/>
  <c r="V18" i="12"/>
  <c r="V30" i="12"/>
  <c r="V26" i="12"/>
  <c r="V12" i="12"/>
  <c r="V14" i="12"/>
  <c r="U30" i="12"/>
  <c r="U22" i="12"/>
  <c r="U14" i="12"/>
  <c r="U24" i="12"/>
  <c r="U16" i="12"/>
  <c r="U8" i="12"/>
  <c r="U20" i="12"/>
  <c r="U18" i="12"/>
  <c r="U31" i="12"/>
  <c r="U29" i="12"/>
  <c r="U27" i="12"/>
  <c r="U12" i="12"/>
  <c r="U10" i="12"/>
  <c r="U25" i="12"/>
  <c r="U23" i="12"/>
  <c r="U21" i="12"/>
  <c r="U17" i="12"/>
  <c r="U9" i="12"/>
  <c r="U11" i="12"/>
  <c r="U19" i="12"/>
  <c r="U28" i="12"/>
  <c r="U15" i="12"/>
  <c r="U7" i="12"/>
  <c r="U26" i="12"/>
  <c r="U13" i="12"/>
  <c r="W6" i="12"/>
  <c r="W24" i="12" l="1"/>
  <c r="W16" i="12"/>
  <c r="W8" i="12"/>
  <c r="W26" i="12"/>
  <c r="W18" i="12"/>
  <c r="W10" i="12"/>
  <c r="W29" i="12"/>
  <c r="W14" i="12"/>
  <c r="W12" i="12"/>
  <c r="W27" i="12"/>
  <c r="W25" i="12"/>
  <c r="W21" i="12"/>
  <c r="W19" i="12"/>
  <c r="W17" i="12"/>
  <c r="W15" i="12"/>
  <c r="W28" i="12"/>
  <c r="W7" i="12"/>
  <c r="W22" i="12"/>
  <c r="W20" i="12"/>
  <c r="W9" i="12"/>
  <c r="W31" i="12"/>
  <c r="W30" i="12"/>
  <c r="W23" i="12"/>
  <c r="W11" i="12"/>
  <c r="W13" i="12"/>
  <c r="X6" i="12"/>
  <c r="X29" i="12" l="1"/>
  <c r="X21" i="12"/>
  <c r="X13" i="12"/>
  <c r="X31" i="12"/>
  <c r="X23" i="12"/>
  <c r="X15" i="12"/>
  <c r="X7" i="12"/>
  <c r="X27" i="12"/>
  <c r="X25" i="12"/>
  <c r="X10" i="12"/>
  <c r="X19" i="12"/>
  <c r="X17" i="12"/>
  <c r="X30" i="12"/>
  <c r="X28" i="12"/>
  <c r="X22" i="12"/>
  <c r="X24" i="12"/>
  <c r="X20" i="12"/>
  <c r="X9" i="12"/>
  <c r="X8" i="12"/>
  <c r="X12" i="12"/>
  <c r="X14" i="12"/>
  <c r="X18" i="12"/>
  <c r="X11" i="12"/>
  <c r="X26" i="12"/>
  <c r="X16" i="12"/>
  <c r="Y6" i="12"/>
  <c r="Y26" i="12" l="1"/>
  <c r="Y18" i="12"/>
  <c r="Y10" i="12"/>
  <c r="Y28" i="12"/>
  <c r="Y20" i="12"/>
  <c r="Y12" i="12"/>
  <c r="Y23" i="12"/>
  <c r="Y8" i="12"/>
  <c r="Y30" i="12"/>
  <c r="Y15" i="12"/>
  <c r="Y24" i="12"/>
  <c r="Y9" i="12"/>
  <c r="Y13" i="12"/>
  <c r="Y19" i="12"/>
  <c r="Y25" i="12"/>
  <c r="Y17" i="12"/>
  <c r="Y31" i="12"/>
  <c r="Y11" i="12"/>
  <c r="Y27" i="12"/>
  <c r="Y16" i="12"/>
  <c r="Y21" i="12"/>
  <c r="Y14" i="12"/>
  <c r="Y7" i="12"/>
  <c r="Y29" i="12"/>
  <c r="Y22" i="12"/>
  <c r="Z6" i="12"/>
  <c r="Z31" i="12" l="1"/>
  <c r="Z23" i="12"/>
  <c r="Z15" i="12"/>
  <c r="Z7" i="12"/>
  <c r="Z25" i="12"/>
  <c r="Z17" i="12"/>
  <c r="Z9" i="12"/>
  <c r="Z21" i="12"/>
  <c r="Z19" i="12"/>
  <c r="Z30" i="12"/>
  <c r="Z28" i="12"/>
  <c r="Z13" i="12"/>
  <c r="Z11" i="12"/>
  <c r="Z26" i="12"/>
  <c r="Z24" i="12"/>
  <c r="Z22" i="12"/>
  <c r="Z20" i="12"/>
  <c r="Z8" i="12"/>
  <c r="Z27" i="12"/>
  <c r="Z18" i="12"/>
  <c r="Z10" i="12"/>
  <c r="Z16" i="12"/>
  <c r="Z12" i="12"/>
  <c r="Z14" i="12"/>
  <c r="Z29" i="12"/>
  <c r="AA6" i="12"/>
  <c r="AA28" i="12" l="1"/>
  <c r="AA20" i="12"/>
  <c r="AA12" i="12"/>
  <c r="AA30" i="12"/>
  <c r="AA22" i="12"/>
  <c r="AA14" i="12"/>
  <c r="AA17" i="12"/>
  <c r="AA26" i="12"/>
  <c r="AA24" i="12"/>
  <c r="AA9" i="12"/>
  <c r="AA15" i="12"/>
  <c r="AA31" i="12"/>
  <c r="AA27" i="12"/>
  <c r="AA18" i="12"/>
  <c r="AA11" i="12"/>
  <c r="AA10" i="12"/>
  <c r="AA29" i="12"/>
  <c r="AA19" i="12"/>
  <c r="AA25" i="12"/>
  <c r="AA7" i="12"/>
  <c r="AA16" i="12"/>
  <c r="AA23" i="12"/>
  <c r="AA13" i="12"/>
  <c r="AA21" i="12"/>
  <c r="AA8" i="12"/>
  <c r="AB6" i="12"/>
  <c r="AB25" i="12" l="1"/>
  <c r="AB17" i="12"/>
  <c r="AB9" i="12"/>
  <c r="AB27" i="12"/>
  <c r="AB19" i="12"/>
  <c r="AB11" i="12"/>
  <c r="AB30" i="12"/>
  <c r="AB15" i="12"/>
  <c r="AB13" i="12"/>
  <c r="AB28" i="12"/>
  <c r="AB26" i="12"/>
  <c r="AB24" i="12"/>
  <c r="AB22" i="12"/>
  <c r="AB7" i="12"/>
  <c r="AB20" i="12"/>
  <c r="AB18" i="12"/>
  <c r="AB16" i="12"/>
  <c r="AB31" i="12"/>
  <c r="AB10" i="12"/>
  <c r="AB8" i="12"/>
  <c r="AB23" i="12"/>
  <c r="AB12" i="12"/>
  <c r="AB21" i="12"/>
  <c r="AB14" i="12"/>
  <c r="AB29" i="12"/>
  <c r="AC6" i="12"/>
  <c r="AC30" i="12" l="1"/>
  <c r="AC22" i="12"/>
  <c r="AC14" i="12"/>
  <c r="AC24" i="12"/>
  <c r="AC16" i="12"/>
  <c r="AC8" i="12"/>
  <c r="AC28" i="12"/>
  <c r="AC26" i="12"/>
  <c r="AC11" i="12"/>
  <c r="AC20" i="12"/>
  <c r="AC18" i="12"/>
  <c r="AC31" i="12"/>
  <c r="AC29" i="12"/>
  <c r="AC27" i="12"/>
  <c r="AC23" i="12"/>
  <c r="AC12" i="12"/>
  <c r="AC25" i="12"/>
  <c r="AC17" i="12"/>
  <c r="AC15" i="12"/>
  <c r="AC21" i="12"/>
  <c r="AC13" i="12"/>
  <c r="AC19" i="12"/>
  <c r="AC7" i="12"/>
  <c r="AC10" i="12"/>
  <c r="AC9" i="12"/>
  <c r="AD6" i="12"/>
  <c r="AD27" i="12" l="1"/>
  <c r="AD19" i="12"/>
  <c r="AD11" i="12"/>
  <c r="AD29" i="12"/>
  <c r="AD21" i="12"/>
  <c r="AD13" i="12"/>
  <c r="AD24" i="12"/>
  <c r="AD9" i="12"/>
  <c r="AD7" i="12"/>
  <c r="AD31" i="12"/>
  <c r="AD16" i="12"/>
  <c r="AD14" i="12"/>
  <c r="AD23" i="12"/>
  <c r="AD18" i="12"/>
  <c r="AD12" i="12"/>
  <c r="AD15" i="12"/>
  <c r="AD28" i="12"/>
  <c r="AD30" i="12"/>
  <c r="AD26" i="12"/>
  <c r="AD25" i="12"/>
  <c r="AD17" i="12"/>
  <c r="AD8" i="12"/>
  <c r="AD22" i="12"/>
  <c r="AD10" i="12"/>
  <c r="AD20" i="12"/>
  <c r="AE6" i="12"/>
  <c r="AE24" i="12" l="1"/>
  <c r="AE16" i="12"/>
  <c r="AE8" i="12"/>
  <c r="AE26" i="12"/>
  <c r="AE18" i="12"/>
  <c r="AE10" i="12"/>
  <c r="AE22" i="12"/>
  <c r="AE20" i="12"/>
  <c r="AE31" i="12"/>
  <c r="AE29" i="12"/>
  <c r="AE14" i="12"/>
  <c r="AE12" i="12"/>
  <c r="AE27" i="12"/>
  <c r="AE25" i="12"/>
  <c r="AE23" i="12"/>
  <c r="AE11" i="12"/>
  <c r="AE21" i="12"/>
  <c r="AE13" i="12"/>
  <c r="AE17" i="12"/>
  <c r="AE7" i="12"/>
  <c r="AE15" i="12"/>
  <c r="AE30" i="12"/>
  <c r="AE19" i="12"/>
  <c r="AE28" i="12"/>
  <c r="AE9" i="12"/>
  <c r="AF6" i="12"/>
  <c r="AF29" i="12" l="1"/>
  <c r="AF21" i="12"/>
  <c r="AF13" i="12"/>
  <c r="AF31" i="12"/>
  <c r="AF23" i="12"/>
  <c r="AF15" i="12"/>
  <c r="AF7" i="12"/>
  <c r="AF18" i="12"/>
  <c r="AF27" i="12"/>
  <c r="AF25" i="12"/>
  <c r="AF10" i="12"/>
  <c r="AF30" i="12"/>
  <c r="AF16" i="12"/>
  <c r="AF9" i="12"/>
  <c r="AF26" i="12"/>
  <c r="AF19" i="12"/>
  <c r="AF14" i="12"/>
  <c r="AF17" i="12"/>
  <c r="AF8" i="12"/>
  <c r="AF28" i="12"/>
  <c r="AF22" i="12"/>
  <c r="AF12" i="12"/>
  <c r="AF11" i="12"/>
  <c r="AF20" i="12"/>
  <c r="AF24" i="12"/>
  <c r="AG6" i="12"/>
  <c r="AG26" i="12" l="1"/>
  <c r="AG18" i="12"/>
  <c r="AG10" i="12"/>
  <c r="AG28" i="12"/>
  <c r="AG20" i="12"/>
  <c r="AG12" i="12"/>
  <c r="AG31" i="12"/>
  <c r="AG16" i="12"/>
  <c r="AG14" i="12"/>
  <c r="AG29" i="12"/>
  <c r="AG27" i="12"/>
  <c r="AG25" i="12"/>
  <c r="AG23" i="12"/>
  <c r="AG8" i="12"/>
  <c r="AG21" i="12"/>
  <c r="AG19" i="12"/>
  <c r="AG17" i="12"/>
  <c r="AG30" i="12"/>
  <c r="AG13" i="12"/>
  <c r="AG7" i="12"/>
  <c r="AG22" i="12"/>
  <c r="AG15" i="12"/>
  <c r="AG11" i="12"/>
  <c r="AG9" i="12"/>
  <c r="AG24" i="12"/>
  <c r="AH6" i="12"/>
  <c r="AH9" i="12" l="1"/>
  <c r="AH13" i="12"/>
  <c r="AH17" i="12"/>
  <c r="AH21" i="12"/>
  <c r="AH25" i="12"/>
  <c r="AH29" i="12"/>
  <c r="AH7" i="12"/>
  <c r="AI7" i="12" s="1"/>
  <c r="AK7" i="12" s="1"/>
  <c r="AH11" i="12"/>
  <c r="AH15" i="12"/>
  <c r="AH19" i="12"/>
  <c r="AH23" i="12"/>
  <c r="AH27" i="12"/>
  <c r="AH31" i="12"/>
  <c r="AH12" i="12"/>
  <c r="AH16" i="12"/>
  <c r="AH20" i="12"/>
  <c r="AH24" i="12"/>
  <c r="AH28" i="12"/>
  <c r="AH8" i="12"/>
  <c r="AH10" i="12"/>
  <c r="AH14" i="12"/>
  <c r="AH18" i="12"/>
  <c r="AH22" i="12"/>
  <c r="AH26" i="12"/>
  <c r="AH30" i="12"/>
  <c r="AJ7" i="12" l="1"/>
  <c r="AL7" i="12" s="1"/>
  <c r="AJ8" i="12"/>
  <c r="AL8" i="12" s="1"/>
  <c r="AI8" i="12"/>
  <c r="AK8" i="12" s="1"/>
  <c r="AJ9" i="12"/>
  <c r="AL9" i="12" s="1"/>
  <c r="AI9" i="12"/>
  <c r="AK9" i="12" s="1"/>
  <c r="AI10" i="12" l="1"/>
  <c r="AK10" i="12" s="1"/>
  <c r="AJ10" i="12"/>
  <c r="AL10" i="12" s="1"/>
  <c r="AJ11" i="12" l="1"/>
  <c r="AL11" i="12" s="1"/>
  <c r="AI11" i="12"/>
  <c r="AK11" i="12" s="1"/>
  <c r="AJ12" i="12" l="1"/>
  <c r="AL12" i="12" s="1"/>
  <c r="AI12" i="12"/>
  <c r="AK12" i="12" s="1"/>
  <c r="AJ13" i="12" l="1"/>
  <c r="AL13" i="12" s="1"/>
  <c r="AI13" i="12"/>
  <c r="AK13" i="12" s="1"/>
  <c r="AI14" i="12" l="1"/>
  <c r="AK14" i="12" s="1"/>
  <c r="AJ14" i="12"/>
  <c r="AL14" i="12" s="1"/>
  <c r="AJ15" i="12" l="1"/>
  <c r="AL15" i="12" s="1"/>
  <c r="AI15" i="12"/>
  <c r="AK15" i="12" s="1"/>
  <c r="AI16" i="12" l="1"/>
  <c r="AK16" i="12" s="1"/>
  <c r="AJ16" i="12"/>
  <c r="AL16" i="12" s="1"/>
  <c r="AI17" i="12" l="1"/>
  <c r="AK17" i="12" s="1"/>
  <c r="AJ17" i="12"/>
  <c r="AL17" i="12" s="1"/>
  <c r="AI18" i="12" l="1"/>
  <c r="AK18" i="12" s="1"/>
  <c r="AJ18" i="12"/>
  <c r="AL18" i="12" s="1"/>
  <c r="AI19" i="12" l="1"/>
  <c r="AK19" i="12" s="1"/>
  <c r="AJ19" i="12"/>
  <c r="AL19" i="12" s="1"/>
  <c r="AJ20" i="12" l="1"/>
  <c r="AL20" i="12" s="1"/>
  <c r="AI20" i="12"/>
  <c r="AK20" i="12" s="1"/>
  <c r="AJ21" i="12" l="1"/>
  <c r="AL21" i="12" s="1"/>
  <c r="AI21" i="12"/>
  <c r="AK21" i="12" s="1"/>
  <c r="AJ22" i="12" l="1"/>
  <c r="AL22" i="12" s="1"/>
  <c r="AI22" i="12"/>
  <c r="AK22" i="12" s="1"/>
  <c r="AJ23" i="12" l="1"/>
  <c r="AL23" i="12" s="1"/>
  <c r="AI23" i="12"/>
  <c r="AK23" i="12" s="1"/>
  <c r="AJ24" i="12" l="1"/>
  <c r="AL24" i="12" s="1"/>
  <c r="AI24" i="12"/>
  <c r="AK24" i="12" s="1"/>
  <c r="AJ25" i="12" l="1"/>
  <c r="AL25" i="12" s="1"/>
  <c r="AI25" i="12"/>
  <c r="AK25" i="12" s="1"/>
  <c r="AJ26" i="12" l="1"/>
  <c r="AL26" i="12" s="1"/>
  <c r="AI26" i="12"/>
  <c r="AK26" i="12" s="1"/>
  <c r="AI27" i="12" l="1"/>
  <c r="AK27" i="12" s="1"/>
  <c r="AJ27" i="12"/>
  <c r="AL27" i="12" s="1"/>
  <c r="AJ28" i="12" l="1"/>
  <c r="AL28" i="12" s="1"/>
  <c r="AI28" i="12"/>
  <c r="AK28" i="12" s="1"/>
  <c r="AI29" i="12" l="1"/>
  <c r="AK29" i="12" s="1"/>
  <c r="AJ29" i="12"/>
  <c r="AL29" i="12" s="1"/>
  <c r="AI30" i="12" l="1"/>
  <c r="AK30" i="12" s="1"/>
  <c r="AJ30" i="12"/>
  <c r="AL30" i="12" s="1"/>
  <c r="AJ31" i="12" l="1"/>
  <c r="AL31" i="12" s="1"/>
  <c r="AI31" i="12"/>
  <c r="AK31" i="12" s="1"/>
  <c r="AK32" i="12" l="1"/>
  <c r="R65" i="10" s="1"/>
  <c r="AI32" i="12"/>
  <c r="M65" i="10" s="1"/>
  <c r="AL32" i="12"/>
  <c r="R69" i="10" s="1"/>
  <c r="AJ32" i="12"/>
  <c r="C68" i="13" l="1"/>
  <c r="M69" i="10"/>
  <c r="O69" i="10" s="1"/>
  <c r="B64" i="13"/>
  <c r="C64" i="13"/>
  <c r="T69" i="10" l="1"/>
  <c r="G69" i="10"/>
  <c r="B68" i="13"/>
  <c r="F69" i="10"/>
  <c r="R72" i="10"/>
  <c r="G72" i="10" s="1"/>
  <c r="T65" i="10"/>
  <c r="G65" i="10"/>
  <c r="O65" i="10"/>
  <c r="F65" i="10"/>
  <c r="M72" i="10"/>
  <c r="B71" i="13" s="1"/>
  <c r="S65" i="10" l="1"/>
  <c r="N65" i="10"/>
  <c r="N69" i="10"/>
  <c r="S69" i="10"/>
  <c r="D68" i="13"/>
  <c r="T72" i="10"/>
  <c r="C71" i="13"/>
  <c r="R87" i="10"/>
  <c r="M87" i="10"/>
  <c r="O72" i="10"/>
  <c r="F72" i="10"/>
  <c r="D64" i="13"/>
  <c r="H69" i="10"/>
  <c r="S72" i="10" l="1"/>
  <c r="N72" i="10"/>
  <c r="N87" i="10" s="1"/>
  <c r="C86" i="13"/>
  <c r="B86" i="13"/>
  <c r="B10" i="8"/>
  <c r="B12" i="8" s="1"/>
  <c r="T87" i="10"/>
  <c r="F87" i="10"/>
  <c r="O87" i="10"/>
  <c r="C10" i="8"/>
  <c r="C12" i="8" s="1"/>
  <c r="G87" i="10"/>
  <c r="W87" i="10"/>
  <c r="H65" i="10"/>
  <c r="D26" i="8" l="1"/>
  <c r="D27" i="8" s="1"/>
  <c r="F26" i="8"/>
  <c r="F27" i="8" s="1"/>
  <c r="B26" i="8"/>
  <c r="B27" i="8" s="1"/>
  <c r="C26" i="8"/>
  <c r="C27" i="8" s="1"/>
  <c r="E26" i="8"/>
  <c r="E27" i="8" s="1"/>
  <c r="G26" i="8"/>
  <c r="G27" i="8" s="1"/>
  <c r="C16" i="8"/>
  <c r="R15" i="10" s="1"/>
  <c r="B16" i="8"/>
  <c r="M15" i="10" s="1"/>
  <c r="S87" i="10"/>
  <c r="D71" i="13"/>
  <c r="H72" i="10"/>
  <c r="H87" i="10"/>
  <c r="D86" i="13"/>
  <c r="D10" i="8"/>
  <c r="D12" i="8" s="1"/>
  <c r="B14" i="13" l="1"/>
  <c r="F15" i="10"/>
  <c r="C14" i="13"/>
  <c r="G15" i="10"/>
  <c r="G29" i="8"/>
  <c r="C36" i="8" s="1"/>
  <c r="G31" i="8"/>
  <c r="C38" i="8" s="1"/>
  <c r="G30" i="8"/>
  <c r="D16" i="8"/>
  <c r="W15" i="10" s="1"/>
  <c r="M21" i="10"/>
  <c r="B20" i="13" s="1"/>
  <c r="O15" i="10"/>
  <c r="O21" i="10" s="1"/>
  <c r="T15" i="10"/>
  <c r="T21" i="10" s="1"/>
  <c r="R21" i="10"/>
  <c r="R89" i="10" s="1"/>
  <c r="C88" i="13" s="1"/>
  <c r="W21" i="10" l="1"/>
  <c r="W89" i="10" s="1"/>
  <c r="D88" i="13" s="1"/>
  <c r="H15" i="10"/>
  <c r="H21" i="10" s="1"/>
  <c r="H89" i="10" s="1"/>
  <c r="S15" i="10"/>
  <c r="S21" i="10" s="1"/>
  <c r="N15" i="10"/>
  <c r="N21" i="10" s="1"/>
  <c r="F21" i="10"/>
  <c r="F89" i="10" s="1"/>
  <c r="G32" i="8"/>
  <c r="C39" i="8" s="1"/>
  <c r="C37" i="8"/>
  <c r="C32" i="8"/>
  <c r="C47" i="8" s="1"/>
  <c r="C31" i="8"/>
  <c r="C46" i="8" s="1"/>
  <c r="C30" i="8"/>
  <c r="C45" i="8" s="1"/>
  <c r="C29" i="8"/>
  <c r="C44" i="8" s="1"/>
  <c r="E30" i="8"/>
  <c r="C53" i="8" s="1"/>
  <c r="E29" i="8"/>
  <c r="C52" i="8" s="1"/>
  <c r="E31" i="8"/>
  <c r="C54" i="8" s="1"/>
  <c r="D14" i="13"/>
  <c r="M89" i="10"/>
  <c r="B88" i="13" s="1"/>
  <c r="G21" i="10"/>
  <c r="G89" i="10" s="1"/>
  <c r="C20" i="13"/>
  <c r="F31" i="8" l="1"/>
  <c r="B38" i="8" s="1"/>
  <c r="B29" i="8"/>
  <c r="B44" i="8" s="1"/>
  <c r="D20" i="13"/>
  <c r="D30" i="8"/>
  <c r="B53" i="8" s="1"/>
  <c r="B31" i="8"/>
  <c r="B46" i="8" s="1"/>
  <c r="F29" i="8" l="1"/>
  <c r="B36" i="8" s="1"/>
  <c r="F30" i="8"/>
  <c r="F32" i="8" s="1"/>
  <c r="B39" i="8" s="1"/>
  <c r="B32" i="8"/>
  <c r="B47" i="8" s="1"/>
  <c r="B30" i="8"/>
  <c r="B45" i="8" s="1"/>
  <c r="D31" i="8"/>
  <c r="B54" i="8" s="1"/>
  <c r="D29" i="8"/>
  <c r="B52" i="8" s="1"/>
  <c r="B37" i="8" l="1"/>
</calcChain>
</file>

<file path=xl/sharedStrings.xml><?xml version="1.0" encoding="utf-8"?>
<sst xmlns="http://schemas.openxmlformats.org/spreadsheetml/2006/main" count="547" uniqueCount="232">
  <si>
    <t>Band</t>
  </si>
  <si>
    <t>Per child base rate</t>
  </si>
  <si>
    <t>Total enrolled</t>
  </si>
  <si>
    <t>English Language</t>
  </si>
  <si>
    <t>Base rate funding</t>
  </si>
  <si>
    <t>Equity Funding</t>
  </si>
  <si>
    <t>English Language Loading</t>
  </si>
  <si>
    <t>ARIA+ Band</t>
  </si>
  <si>
    <t>Number of Licensed Places</t>
  </si>
  <si>
    <t>Days Open per Week</t>
  </si>
  <si>
    <t>Weeks Open per Year</t>
  </si>
  <si>
    <t>Hours Open per Week</t>
  </si>
  <si>
    <t>Number of Children Cap</t>
  </si>
  <si>
    <t>Average Hours Open per Day</t>
  </si>
  <si>
    <t>Depreciation</t>
  </si>
  <si>
    <t>Interest</t>
  </si>
  <si>
    <t>Expenditure / Surplus</t>
  </si>
  <si>
    <t>Income required from Parent Fees</t>
  </si>
  <si>
    <t>3yo Equity</t>
  </si>
  <si>
    <t>4yo and older Equity</t>
  </si>
  <si>
    <t>4yo and older Other</t>
  </si>
  <si>
    <t>3yo and younger Other</t>
  </si>
  <si>
    <t>Number</t>
  </si>
  <si>
    <t>Total Income Required</t>
  </si>
  <si>
    <t>Average Attendances / Wk</t>
  </si>
  <si>
    <t>Total Attendances / Wk</t>
  </si>
  <si>
    <t>Minimum Fee (Equity)</t>
  </si>
  <si>
    <t>Minimum Fee (Non-Equity)</t>
  </si>
  <si>
    <t>Service Details</t>
  </si>
  <si>
    <t>Anticipated Enrolments - 2016</t>
  </si>
  <si>
    <t>Retained Earnings at EOFY</t>
  </si>
  <si>
    <t>Funding Cap Scaling - 2015</t>
  </si>
  <si>
    <t>Operational Scaling - 2015</t>
  </si>
  <si>
    <t>Funding Cap Scaling - 2016</t>
  </si>
  <si>
    <t>Operational Scaling - 2016</t>
  </si>
  <si>
    <t>Funding Cap Scaling - 2017</t>
  </si>
  <si>
    <t>Operational Scaling - 2017</t>
  </si>
  <si>
    <t>2016 PDSP UDL Funding</t>
  </si>
  <si>
    <t>2017 PDSP UDL Funding</t>
  </si>
  <si>
    <t>Adjust for total attendances</t>
  </si>
  <si>
    <t>Old Funding Formula Amount</t>
  </si>
  <si>
    <t>BUDGET PROJECTIONS CALCULATOR</t>
  </si>
  <si>
    <t>CPI Projection:</t>
  </si>
  <si>
    <t>Budget Line Item</t>
  </si>
  <si>
    <t>Trend   Figure</t>
  </si>
  <si>
    <t>CPI Projection</t>
  </si>
  <si>
    <t>Manual Calculation</t>
  </si>
  <si>
    <t>Select Method</t>
  </si>
  <si>
    <t>Income</t>
  </si>
  <si>
    <t>Calculated</t>
  </si>
  <si>
    <t>Fees</t>
  </si>
  <si>
    <t>Expenses</t>
  </si>
  <si>
    <t>Advertising</t>
  </si>
  <si>
    <t>Assets &lt; $5,000</t>
  </si>
  <si>
    <t>Bad Debts</t>
  </si>
  <si>
    <t>Bank Charges</t>
  </si>
  <si>
    <t>Consultancy Fees</t>
  </si>
  <si>
    <t>Donations and Gifts</t>
  </si>
  <si>
    <t>Fees, Permits, Licences</t>
  </si>
  <si>
    <t>Fundraising Expenses</t>
  </si>
  <si>
    <t>Health &amp; Safety</t>
  </si>
  <si>
    <t>Insurance - General</t>
  </si>
  <si>
    <t>Legal Fees</t>
  </si>
  <si>
    <t>Loss on Sale of Assets</t>
  </si>
  <si>
    <t>Printing &amp; Stationery</t>
  </si>
  <si>
    <t>R&amp;M - Building/Grounds</t>
  </si>
  <si>
    <t>R&amp;M - Plant/Equipment</t>
  </si>
  <si>
    <t>Salaries and Wages - Casual</t>
  </si>
  <si>
    <t>Salaries and Wages - Permanent</t>
  </si>
  <si>
    <t>Salaries and Wages - Provision for Annual Leave</t>
  </si>
  <si>
    <t>Salaries and Wages - Provision for Long Service Leave</t>
  </si>
  <si>
    <t>Salaries and Wages - Provision for Personal Leave</t>
  </si>
  <si>
    <t>Salaries and Wages - Superannuation</t>
  </si>
  <si>
    <t>Salaries and Wages - Termination Payments</t>
  </si>
  <si>
    <t>Salaries and Wages - WorkCover Premiums</t>
  </si>
  <si>
    <t>Security</t>
  </si>
  <si>
    <t>Sundries</t>
  </si>
  <si>
    <t>Training &amp; Development - Committee</t>
  </si>
  <si>
    <t>Training &amp; Development - Staff</t>
  </si>
  <si>
    <t>Write-off Expenses</t>
  </si>
  <si>
    <t>Operating Profit</t>
  </si>
  <si>
    <t>Total Budgeted Expenditure (from Budget Projections)</t>
  </si>
  <si>
    <t xml:space="preserve">Budgeted Surplus </t>
  </si>
  <si>
    <t>Before Subsidies / Adjustment for Attendances</t>
  </si>
  <si>
    <t>Service Name:</t>
  </si>
  <si>
    <t>Hours per week</t>
  </si>
  <si>
    <t>Next anniversary date for step progression</t>
  </si>
  <si>
    <t>Anticipated AWR outcome</t>
  </si>
  <si>
    <t>M</t>
  </si>
  <si>
    <t>O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</si>
  <si>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</si>
  <si>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</si>
  <si>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</si>
  <si>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</si>
  <si>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</si>
  <si>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</si>
  <si>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</si>
  <si>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</si>
  <si>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</si>
  <si>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</si>
  <si>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</si>
  <si>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Salaries and Wages - Travel Allowance</t>
  </si>
  <si>
    <t>FFPPCOOA 1 Jul</t>
  </si>
  <si>
    <t>Rate at step progression ($ per hr)</t>
  </si>
  <si>
    <t>WAGES BUDGET ESTIMATOR</t>
  </si>
  <si>
    <t>TOTALS</t>
  </si>
  <si>
    <t>Fee per Attendance - After Subsidies</t>
  </si>
  <si>
    <t>3 YEAR PRESCHOOL FUNDING MODEL CALCULATOR</t>
  </si>
  <si>
    <t>Cost per Average Attendance</t>
  </si>
  <si>
    <t>Employee Name or Position</t>
  </si>
  <si>
    <t>Client Support Services - Access Subsidies non-PFM</t>
  </si>
  <si>
    <t>2015-16 PFM Funding</t>
  </si>
  <si>
    <t>Total 2015-16 PFM Funding</t>
  </si>
  <si>
    <t>Total 2016-17 PFM Funding</t>
  </si>
  <si>
    <t>H</t>
  </si>
  <si>
    <t>I</t>
  </si>
  <si>
    <t>J</t>
  </si>
  <si>
    <t>K</t>
  </si>
  <si>
    <t>L</t>
  </si>
  <si>
    <t>Manual</t>
  </si>
  <si>
    <t>(excluding GST)</t>
  </si>
  <si>
    <t>PFM PAYMENTS</t>
  </si>
  <si>
    <t>UDL PAYMENTS</t>
  </si>
  <si>
    <t>Enrolled Children (2015 Census):</t>
  </si>
  <si>
    <t>Payment Schedule (GST-excl)</t>
  </si>
  <si>
    <t>Financial Year Report Date</t>
  </si>
  <si>
    <t>Average across Subsidised Groups</t>
  </si>
  <si>
    <t>2017   Wages</t>
  </si>
  <si>
    <t>2017 Superannuation</t>
  </si>
  <si>
    <t>3 YEAR ROLLING BUDGET</t>
  </si>
  <si>
    <t>Operating Profit / (Loss)</t>
  </si>
  <si>
    <t>Anticipated Enrolments - 2017</t>
  </si>
  <si>
    <t>2018 PDSP UDL Funding</t>
  </si>
  <si>
    <t>Total 2017-18 PFM Funding</t>
  </si>
  <si>
    <t>A</t>
  </si>
  <si>
    <t>B</t>
  </si>
  <si>
    <t>C</t>
  </si>
  <si>
    <t>D</t>
  </si>
  <si>
    <t>E</t>
  </si>
  <si>
    <t>F</t>
  </si>
  <si>
    <t>G</t>
  </si>
  <si>
    <t>Apply 4yo Non-Equity Fee</t>
  </si>
  <si>
    <t>(from October 2013 DEC email)</t>
  </si>
  <si>
    <t>SEIFA Funding Band</t>
  </si>
  <si>
    <t>PFM Grant</t>
  </si>
  <si>
    <t>PDSP Grant - Targetted</t>
  </si>
  <si>
    <t>PDSP Grant - UDL</t>
  </si>
  <si>
    <r>
      <rPr>
        <u/>
        <sz val="11"/>
        <color indexed="8"/>
        <rFont val="Calibri"/>
        <family val="2"/>
      </rPr>
      <t>Less</t>
    </r>
    <r>
      <rPr>
        <sz val="11"/>
        <color theme="1"/>
        <rFont val="Calibri"/>
        <family val="2"/>
        <scheme val="minor"/>
      </rPr>
      <t xml:space="preserve"> PFM Base/Equity/Transitional Funding</t>
    </r>
  </si>
  <si>
    <r>
      <rPr>
        <u/>
        <sz val="11"/>
        <color theme="1"/>
        <rFont val="Calibri"/>
        <family val="2"/>
        <scheme val="minor"/>
      </rPr>
      <t>Less</t>
    </r>
    <r>
      <rPr>
        <sz val="11"/>
        <color theme="1"/>
        <rFont val="Calibri"/>
        <family val="2"/>
        <scheme val="minor"/>
      </rPr>
      <t xml:space="preserve"> Other Income (excluding Parent Fees / PFM Funding)</t>
    </r>
  </si>
  <si>
    <t xml:space="preserve">2014-2015 PFM Amount </t>
  </si>
  <si>
    <t>Rate per ELIGIBLE child ($ p.a.)</t>
  </si>
  <si>
    <t>SEIFA Base Rate</t>
  </si>
  <si>
    <t>Effective Equity Rate for 4yo</t>
  </si>
  <si>
    <r>
      <t>(</t>
    </r>
    <r>
      <rPr>
        <u/>
        <sz val="5.5"/>
        <color theme="1"/>
        <rFont val="Calibri"/>
        <family val="2"/>
        <scheme val="minor"/>
      </rPr>
      <t>Additional</t>
    </r>
    <r>
      <rPr>
        <sz val="5.5"/>
        <color theme="1"/>
        <rFont val="Calibri"/>
        <family val="2"/>
        <scheme val="minor"/>
      </rPr>
      <t xml:space="preserve"> Amount paid above Base Rate for 4yo)</t>
    </r>
  </si>
  <si>
    <t>Effective Equity Rate for 3yo</t>
  </si>
  <si>
    <t>Service Loading Rate</t>
  </si>
  <si>
    <t>English Language Rate</t>
  </si>
  <si>
    <t>New PFM Rates from 2016</t>
  </si>
  <si>
    <t>CY 2015</t>
  </si>
  <si>
    <t>CY 2016</t>
  </si>
  <si>
    <t>FY 2015-16</t>
  </si>
  <si>
    <t>CY 2017</t>
  </si>
  <si>
    <t>CY 2018</t>
  </si>
  <si>
    <t>Jul-Dec 15</t>
  </si>
  <si>
    <t>Jan-Jun 16</t>
  </si>
  <si>
    <t>Other Government Grants</t>
  </si>
  <si>
    <t>Donations Received - DGR</t>
  </si>
  <si>
    <t>Sponsorship</t>
  </si>
  <si>
    <t>Membership Fees</t>
  </si>
  <si>
    <t>Accounting Fees</t>
  </si>
  <si>
    <t>Agency Temporary Staff</t>
  </si>
  <si>
    <t>Audit Fees</t>
  </si>
  <si>
    <t>Auspicing Fees</t>
  </si>
  <si>
    <t>Business Planning Costs</t>
  </si>
  <si>
    <t>Cleaning</t>
  </si>
  <si>
    <t>Client Support Services - Classroom Supplies</t>
  </si>
  <si>
    <t>Client Support Services - Office Supplies</t>
  </si>
  <si>
    <t>Client Support Services - Uniforms</t>
  </si>
  <si>
    <t>Client Support Consumables</t>
  </si>
  <si>
    <t>Committee Governance Expenses</t>
  </si>
  <si>
    <t>Computer Expenses</t>
  </si>
  <si>
    <t>Entertainment Costs</t>
  </si>
  <si>
    <t>Equipment Hire / Lease</t>
  </si>
  <si>
    <t>Interest Paid</t>
  </si>
  <si>
    <t>Management Fee - Bookkeeping</t>
  </si>
  <si>
    <t>Meeting Expenses</t>
  </si>
  <si>
    <t>Membership Fees Paid</t>
  </si>
  <si>
    <t>Motor Vehicle Expenses</t>
  </si>
  <si>
    <t>Postage, Freight and Courier</t>
  </si>
  <si>
    <t>Publications and Information Resources</t>
  </si>
  <si>
    <t>Rates</t>
  </si>
  <si>
    <t>Rent</t>
  </si>
  <si>
    <t>Staff Amenities</t>
  </si>
  <si>
    <t>Telephone &amp; Internet</t>
  </si>
  <si>
    <t>Travel &amp; Accommodation</t>
  </si>
  <si>
    <t>Utilities</t>
  </si>
  <si>
    <t>General Expenses</t>
  </si>
  <si>
    <t>Water Purchases</t>
  </si>
  <si>
    <t>Website Development &amp; Maintenance</t>
  </si>
  <si>
    <t>Other Expenses</t>
  </si>
  <si>
    <t>Equivalent daily rate</t>
  </si>
  <si>
    <t>Regional Loading</t>
  </si>
  <si>
    <t>Pay Cycle</t>
  </si>
  <si>
    <t>Required Budget Outcome</t>
  </si>
  <si>
    <t>Charge before subsidies</t>
  </si>
  <si>
    <t>do not enrol</t>
  </si>
  <si>
    <t>Fee per Attendance - Funding Groups</t>
  </si>
  <si>
    <t>Option 1:  Enrol PFM-eligible children, apply Government subsidies in full to their fees, and then enrol further non-eligible children against vacancies</t>
  </si>
  <si>
    <t>Option 2:  Enrol and charge 3yo children full cost of attendance first, then enrol and allocate Government support to PFM-eligible children</t>
  </si>
  <si>
    <t xml:space="preserve">Option 3:  3yo non-equity children do NOT attend, either because of high fees in Option 2 or because the service chooses not to enrol those children </t>
  </si>
  <si>
    <t>Excursion Fees</t>
  </si>
  <si>
    <t>Equipment Levy</t>
  </si>
  <si>
    <t>Fundraising</t>
  </si>
  <si>
    <r>
      <rPr>
        <u/>
        <sz val="22"/>
        <color theme="1"/>
        <rFont val="Arial"/>
        <family val="2"/>
      </rPr>
      <t>INDICATIVE</t>
    </r>
    <r>
      <rPr>
        <sz val="22"/>
        <color theme="1"/>
        <rFont val="Arial"/>
        <family val="2"/>
      </rPr>
      <t xml:space="preserve"> FEE ESTIMATOR </t>
    </r>
  </si>
  <si>
    <t>2016 PFM Funding Extension</t>
  </si>
  <si>
    <t>Anticipated Enrolments - 2018</t>
  </si>
  <si>
    <t>Funding Cap Scaling - 2018</t>
  </si>
  <si>
    <t>Operational Scaling - 2018</t>
  </si>
  <si>
    <t>2019 PDSP UDL Funding</t>
  </si>
  <si>
    <t>2017 PFM Funding</t>
  </si>
  <si>
    <t>2018 PFM Funding</t>
  </si>
  <si>
    <t>2019 PFM Funding</t>
  </si>
  <si>
    <t>CY 2019</t>
  </si>
  <si>
    <t>First Scheduled Pay Date in 2017:</t>
  </si>
  <si>
    <t>Rate at 1 Jan 2017             ($ per hr)</t>
  </si>
  <si>
    <t>2018   Wages</t>
  </si>
  <si>
    <t>2018 Superannuation</t>
  </si>
  <si>
    <t>(50% of 2015-16 PFM Funding)</t>
  </si>
  <si>
    <t>Fortnightly</t>
  </si>
  <si>
    <t>31 December</t>
  </si>
  <si>
    <t>Total 2016 PFM Funding Extension</t>
  </si>
  <si>
    <t>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</si>
</sst>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0.0%"/>
    <numFmt numFmtId="165" formatCode="#,##0.00_ ;[Red]\(#,##0.00\ \)"/>
    <numFmt numFmtId="166" formatCode="#,##0.00_ ;\-#,##0.00\ "/>
    <numFmt numFmtId="167" formatCode="&quot;$&quot;#,##0.00_);[Red]\(&quot;$&quot;#,##0.00\)"/>
    <numFmt numFmtId="168" formatCode="&quot;$&quot;#,##0.00;[Red]&quot;$&quot;#,##0.00"/>
    <numFmt numFmtId="169" formatCode="&quot;$&quot;#,##0.00"/>
    <numFmt numFmtId="170" formatCode="0.0"/>
    <numFmt numFmtId="171" formatCode="mmmm\ yyyy"/>
    <numFmt numFmtId="172" formatCode="dd\ mmmm"/>
    <numFmt numFmtId="173" formatCode="#,##0.00\ ;[Red]\(#,##0.00\ \);"/>
    <numFmt numFmtId="174" formatCode="#,##0.00_ ;[Red]\-#,##0.00\ 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u/>
      <sz val="5.5"/>
      <color theme="1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9"/>
      <color rgb="FFFF0000"/>
      <name val="Arial"/>
      <family val="2"/>
    </font>
    <font>
      <sz val="22"/>
      <color theme="1"/>
      <name val="Arial"/>
      <family val="2"/>
    </font>
    <font>
      <u/>
      <sz val="2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9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43" fontId="9" fillId="0" borderId="0" xfId="0" applyNumberFormat="1" applyFont="1" applyAlignment="1" applyProtection="1">
      <alignment horizontal="center"/>
      <protection hidden="1"/>
    </xf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wrapText="1"/>
    </xf>
    <xf numFmtId="0" fontId="10" fillId="0" borderId="0" xfId="0" applyFont="1"/>
    <xf numFmtId="0" fontId="0" fillId="0" borderId="0" xfId="0" applyFill="1" applyAlignment="1" applyProtection="1">
      <alignment horizontal="center"/>
      <protection hidden="1"/>
    </xf>
    <xf numFmtId="0" fontId="0" fillId="0" borderId="0" xfId="0" applyBorder="1" applyAlignment="1">
      <alignment horizontal="right"/>
    </xf>
    <xf numFmtId="0" fontId="0" fillId="0" borderId="0" xfId="0" applyFill="1" applyProtection="1">
      <protection hidden="1"/>
    </xf>
    <xf numFmtId="0" fontId="0" fillId="0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2" xfId="0" applyFont="1" applyBorder="1"/>
    <xf numFmtId="0" fontId="9" fillId="0" borderId="1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0" fillId="0" borderId="3" xfId="0" applyBorder="1" applyProtection="1">
      <protection hidden="1"/>
    </xf>
    <xf numFmtId="0" fontId="0" fillId="0" borderId="4" xfId="0" applyFill="1" applyBorder="1"/>
    <xf numFmtId="0" fontId="0" fillId="0" borderId="13" xfId="0" applyBorder="1" applyProtection="1">
      <protection hidden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5" xfId="0" applyFill="1" applyBorder="1"/>
    <xf numFmtId="0" fontId="0" fillId="0" borderId="4" xfId="0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vertical="center"/>
      <protection hidden="1"/>
    </xf>
    <xf numFmtId="0" fontId="11" fillId="0" borderId="5" xfId="0" applyFont="1" applyBorder="1" applyAlignment="1" applyProtection="1">
      <alignment vertical="center"/>
      <protection hidden="1"/>
    </xf>
    <xf numFmtId="0" fontId="9" fillId="5" borderId="0" xfId="0" applyFont="1" applyFill="1" applyProtection="1">
      <protection hidden="1"/>
    </xf>
    <xf numFmtId="0" fontId="0" fillId="5" borderId="0" xfId="0" applyFill="1" applyAlignment="1" applyProtection="1">
      <alignment horizontal="center"/>
      <protection hidden="1"/>
    </xf>
    <xf numFmtId="0" fontId="0" fillId="5" borderId="12" xfId="0" applyFill="1" applyBorder="1" applyProtection="1">
      <protection hidden="1"/>
    </xf>
    <xf numFmtId="0" fontId="0" fillId="5" borderId="3" xfId="0" applyFill="1" applyBorder="1" applyProtection="1">
      <protection hidden="1"/>
    </xf>
    <xf numFmtId="0" fontId="9" fillId="5" borderId="13" xfId="0" applyFont="1" applyFill="1" applyBorder="1" applyProtection="1">
      <protection hidden="1"/>
    </xf>
    <xf numFmtId="0" fontId="0" fillId="5" borderId="13" xfId="0" applyFill="1" applyBorder="1" applyProtection="1">
      <protection hidden="1"/>
    </xf>
    <xf numFmtId="0" fontId="9" fillId="5" borderId="10" xfId="0" applyFont="1" applyFill="1" applyBorder="1" applyProtection="1">
      <protection hidden="1"/>
    </xf>
    <xf numFmtId="0" fontId="9" fillId="6" borderId="0" xfId="0" applyFont="1" applyFill="1" applyProtection="1">
      <protection hidden="1"/>
    </xf>
    <xf numFmtId="0" fontId="0" fillId="6" borderId="12" xfId="0" applyFill="1" applyBorder="1" applyProtection="1">
      <protection hidden="1"/>
    </xf>
    <xf numFmtId="0" fontId="0" fillId="6" borderId="3" xfId="0" applyFill="1" applyBorder="1" applyProtection="1">
      <protection hidden="1"/>
    </xf>
    <xf numFmtId="0" fontId="9" fillId="6" borderId="13" xfId="0" applyFont="1" applyFill="1" applyBorder="1" applyProtection="1">
      <protection hidden="1"/>
    </xf>
    <xf numFmtId="0" fontId="0" fillId="6" borderId="13" xfId="0" applyFill="1" applyBorder="1" applyProtection="1">
      <protection hidden="1"/>
    </xf>
    <xf numFmtId="0" fontId="9" fillId="7" borderId="0" xfId="0" applyFont="1" applyFill="1" applyProtection="1">
      <protection hidden="1"/>
    </xf>
    <xf numFmtId="0" fontId="0" fillId="7" borderId="12" xfId="0" applyFill="1" applyBorder="1" applyProtection="1">
      <protection hidden="1"/>
    </xf>
    <xf numFmtId="0" fontId="0" fillId="7" borderId="3" xfId="0" applyFill="1" applyBorder="1" applyProtection="1">
      <protection hidden="1"/>
    </xf>
    <xf numFmtId="0" fontId="9" fillId="7" borderId="13" xfId="0" applyFont="1" applyFill="1" applyBorder="1" applyProtection="1">
      <protection hidden="1"/>
    </xf>
    <xf numFmtId="0" fontId="0" fillId="7" borderId="13" xfId="0" applyFill="1" applyBorder="1" applyProtection="1">
      <protection hidden="1"/>
    </xf>
    <xf numFmtId="0" fontId="0" fillId="0" borderId="14" xfId="0" applyBorder="1" applyAlignment="1" applyProtection="1">
      <alignment horizontal="center"/>
      <protection hidden="1"/>
    </xf>
    <xf numFmtId="0" fontId="9" fillId="6" borderId="0" xfId="0" applyFont="1" applyFill="1" applyAlignment="1">
      <alignment wrapText="1"/>
    </xf>
    <xf numFmtId="0" fontId="9" fillId="7" borderId="0" xfId="0" applyFont="1" applyFill="1" applyAlignment="1">
      <alignment wrapText="1"/>
    </xf>
    <xf numFmtId="0" fontId="0" fillId="7" borderId="0" xfId="0" applyFill="1" applyProtection="1">
      <protection hidden="1"/>
    </xf>
    <xf numFmtId="0" fontId="5" fillId="0" borderId="0" xfId="3" applyFont="1" applyBorder="1" applyProtection="1">
      <protection hidden="1"/>
    </xf>
    <xf numFmtId="0" fontId="5" fillId="0" borderId="0" xfId="3" applyNumberFormat="1" applyFont="1" applyBorder="1" applyAlignment="1" applyProtection="1">
      <alignment horizontal="justify"/>
      <protection hidden="1"/>
    </xf>
    <xf numFmtId="0" fontId="7" fillId="0" borderId="16" xfId="3" applyNumberFormat="1" applyFont="1" applyBorder="1" applyAlignment="1" applyProtection="1">
      <alignment horizontal="right" wrapText="1"/>
      <protection hidden="1"/>
    </xf>
    <xf numFmtId="0" fontId="7" fillId="0" borderId="15" xfId="3" applyFont="1" applyFill="1" applyBorder="1" applyAlignment="1" applyProtection="1">
      <alignment horizontal="center" wrapText="1"/>
      <protection hidden="1"/>
    </xf>
    <xf numFmtId="0" fontId="7" fillId="0" borderId="16" xfId="3" applyFont="1" applyFill="1" applyBorder="1" applyAlignment="1" applyProtection="1">
      <alignment horizontal="center" wrapText="1"/>
      <protection hidden="1"/>
    </xf>
    <xf numFmtId="0" fontId="7" fillId="0" borderId="16" xfId="3" applyFont="1" applyBorder="1" applyAlignment="1" applyProtection="1">
      <alignment horizontal="center" wrapText="1"/>
      <protection hidden="1"/>
    </xf>
    <xf numFmtId="0" fontId="7" fillId="10" borderId="17" xfId="3" applyFont="1" applyFill="1" applyBorder="1" applyAlignment="1" applyProtection="1">
      <alignment horizontal="center" wrapText="1"/>
      <protection hidden="1"/>
    </xf>
    <xf numFmtId="0" fontId="7" fillId="10" borderId="18" xfId="3" applyFont="1" applyFill="1" applyBorder="1" applyAlignment="1" applyProtection="1">
      <alignment horizontal="center" wrapText="1"/>
      <protection hidden="1"/>
    </xf>
    <xf numFmtId="0" fontId="5" fillId="0" borderId="0" xfId="3" applyFont="1" applyBorder="1" applyAlignment="1" applyProtection="1">
      <alignment horizontal="right" wrapText="1"/>
      <protection hidden="1"/>
    </xf>
    <xf numFmtId="167" fontId="5" fillId="2" borderId="19" xfId="3" applyNumberFormat="1" applyFont="1" applyFill="1" applyBorder="1" applyAlignment="1" applyProtection="1">
      <alignment vertical="top" wrapText="1"/>
      <protection hidden="1"/>
    </xf>
    <xf numFmtId="0" fontId="5" fillId="0" borderId="19" xfId="3" applyFont="1" applyBorder="1" applyProtection="1">
      <protection hidden="1"/>
    </xf>
    <xf numFmtId="0" fontId="5" fillId="0" borderId="19" xfId="3" applyNumberFormat="1" applyFont="1" applyBorder="1" applyAlignment="1" applyProtection="1">
      <alignment horizontal="justify"/>
      <protection hidden="1"/>
    </xf>
    <xf numFmtId="0" fontId="5" fillId="0" borderId="21" xfId="3" applyFont="1" applyFill="1" applyBorder="1" applyProtection="1">
      <protection hidden="1"/>
    </xf>
    <xf numFmtId="0" fontId="5" fillId="0" borderId="19" xfId="3" applyFont="1" applyFill="1" applyBorder="1" applyProtection="1">
      <protection hidden="1"/>
    </xf>
    <xf numFmtId="0" fontId="5" fillId="10" borderId="20" xfId="3" applyFont="1" applyFill="1" applyBorder="1" applyProtection="1">
      <protection hidden="1"/>
    </xf>
    <xf numFmtId="0" fontId="5" fillId="10" borderId="22" xfId="3" applyFont="1" applyFill="1" applyBorder="1" applyProtection="1">
      <protection hidden="1"/>
    </xf>
    <xf numFmtId="167" fontId="5" fillId="2" borderId="0" xfId="3" applyNumberFormat="1" applyFont="1" applyFill="1" applyBorder="1" applyAlignment="1" applyProtection="1">
      <alignment vertical="top" wrapText="1"/>
      <protection hidden="1"/>
    </xf>
    <xf numFmtId="0" fontId="5" fillId="0" borderId="24" xfId="3" applyFont="1" applyFill="1" applyBorder="1" applyProtection="1">
      <protection hidden="1"/>
    </xf>
    <xf numFmtId="0" fontId="5" fillId="0" borderId="0" xfId="3" applyFont="1" applyFill="1" applyBorder="1" applyProtection="1">
      <protection hidden="1"/>
    </xf>
    <xf numFmtId="0" fontId="5" fillId="10" borderId="23" xfId="3" applyFont="1" applyFill="1" applyBorder="1" applyProtection="1">
      <protection hidden="1"/>
    </xf>
    <xf numFmtId="0" fontId="5" fillId="10" borderId="25" xfId="3" applyFont="1" applyFill="1" applyBorder="1" applyProtection="1">
      <protection hidden="1"/>
    </xf>
    <xf numFmtId="167" fontId="5" fillId="9" borderId="0" xfId="3" applyNumberFormat="1" applyFont="1" applyFill="1" applyBorder="1" applyAlignment="1" applyProtection="1">
      <alignment vertical="top" wrapText="1"/>
      <protection locked="0" hidden="1"/>
    </xf>
    <xf numFmtId="167" fontId="5" fillId="9" borderId="23" xfId="3" applyNumberFormat="1" applyFont="1" applyFill="1" applyBorder="1" applyAlignment="1" applyProtection="1">
      <alignment vertical="top" wrapText="1"/>
      <protection locked="0" hidden="1"/>
    </xf>
    <xf numFmtId="167" fontId="5" fillId="0" borderId="0" xfId="3" applyNumberFormat="1" applyFont="1" applyFill="1" applyBorder="1" applyAlignment="1" applyProtection="1">
      <alignment vertical="top" wrapText="1"/>
      <protection hidden="1"/>
    </xf>
    <xf numFmtId="167" fontId="5" fillId="0" borderId="24" xfId="3" applyNumberFormat="1" applyFont="1" applyFill="1" applyBorder="1" applyAlignment="1" applyProtection="1">
      <alignment vertical="top" wrapText="1"/>
      <protection hidden="1"/>
    </xf>
    <xf numFmtId="167" fontId="5" fillId="10" borderId="23" xfId="3" applyNumberFormat="1" applyFont="1" applyFill="1" applyBorder="1" applyAlignment="1" applyProtection="1">
      <alignment vertical="top" wrapText="1"/>
      <protection hidden="1"/>
    </xf>
    <xf numFmtId="167" fontId="5" fillId="10" borderId="25" xfId="3" applyNumberFormat="1" applyFont="1" applyFill="1" applyBorder="1" applyAlignment="1" applyProtection="1">
      <alignment vertical="top" wrapText="1"/>
      <protection hidden="1"/>
    </xf>
    <xf numFmtId="0" fontId="1" fillId="0" borderId="0" xfId="3" applyFont="1" applyBorder="1" applyProtection="1">
      <protection hidden="1"/>
    </xf>
    <xf numFmtId="167" fontId="5" fillId="0" borderId="26" xfId="3" applyNumberFormat="1" applyFont="1" applyFill="1" applyBorder="1" applyAlignment="1" applyProtection="1">
      <alignment vertical="top" wrapText="1"/>
      <protection hidden="1"/>
    </xf>
    <xf numFmtId="167" fontId="5" fillId="0" borderId="1" xfId="3" applyNumberFormat="1" applyFont="1" applyFill="1" applyBorder="1" applyAlignment="1" applyProtection="1">
      <alignment vertical="top" wrapText="1"/>
      <protection hidden="1"/>
    </xf>
    <xf numFmtId="167" fontId="5" fillId="0" borderId="27" xfId="3" applyNumberFormat="1" applyFont="1" applyFill="1" applyBorder="1" applyAlignment="1" applyProtection="1">
      <alignment vertical="top" wrapText="1"/>
      <protection hidden="1"/>
    </xf>
    <xf numFmtId="167" fontId="5" fillId="10" borderId="27" xfId="3" applyNumberFormat="1" applyFont="1" applyFill="1" applyBorder="1" applyAlignment="1" applyProtection="1">
      <alignment vertical="top" wrapText="1"/>
      <protection hidden="1"/>
    </xf>
    <xf numFmtId="167" fontId="5" fillId="10" borderId="28" xfId="3" applyNumberFormat="1" applyFont="1" applyFill="1" applyBorder="1" applyAlignment="1" applyProtection="1">
      <alignment vertical="top" wrapText="1"/>
      <protection hidden="1"/>
    </xf>
    <xf numFmtId="167" fontId="5" fillId="2" borderId="6" xfId="3" applyNumberFormat="1" applyFont="1" applyFill="1" applyBorder="1" applyAlignment="1" applyProtection="1">
      <alignment vertical="top" wrapText="1"/>
      <protection hidden="1"/>
    </xf>
    <xf numFmtId="168" fontId="5" fillId="2" borderId="6" xfId="3" applyNumberFormat="1" applyFont="1" applyFill="1" applyBorder="1" applyAlignment="1" applyProtection="1">
      <alignment vertical="top" wrapText="1"/>
      <protection hidden="1"/>
    </xf>
    <xf numFmtId="49" fontId="5" fillId="2" borderId="0" xfId="3" applyNumberFormat="1" applyFont="1" applyFill="1" applyBorder="1" applyAlignment="1" applyProtection="1">
      <alignment vertical="top"/>
      <protection hidden="1"/>
    </xf>
    <xf numFmtId="0" fontId="1" fillId="0" borderId="24" xfId="3" applyFont="1" applyFill="1" applyBorder="1" applyProtection="1">
      <protection hidden="1"/>
    </xf>
    <xf numFmtId="0" fontId="1" fillId="0" borderId="0" xfId="3" applyFont="1" applyFill="1" applyBorder="1" applyProtection="1">
      <protection hidden="1"/>
    </xf>
    <xf numFmtId="0" fontId="1" fillId="0" borderId="23" xfId="3" applyFont="1" applyBorder="1" applyProtection="1">
      <protection hidden="1"/>
    </xf>
    <xf numFmtId="0" fontId="1" fillId="0" borderId="25" xfId="3" applyFont="1" applyBorder="1" applyProtection="1">
      <protection hidden="1"/>
    </xf>
    <xf numFmtId="167" fontId="5" fillId="2" borderId="26" xfId="3" applyNumberFormat="1" applyFont="1" applyFill="1" applyBorder="1" applyAlignment="1" applyProtection="1">
      <alignment vertical="top" wrapText="1"/>
      <protection hidden="1"/>
    </xf>
    <xf numFmtId="167" fontId="5" fillId="9" borderId="1" xfId="3" applyNumberFormat="1" applyFont="1" applyFill="1" applyBorder="1" applyAlignment="1" applyProtection="1">
      <alignment vertical="top" wrapText="1"/>
      <protection locked="0"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Fill="1" applyBorder="1" applyAlignment="1" applyProtection="1">
      <alignment horizontal="center"/>
      <protection hidden="1"/>
    </xf>
    <xf numFmtId="167" fontId="5" fillId="0" borderId="23" xfId="3" applyNumberFormat="1" applyFont="1" applyFill="1" applyBorder="1" applyAlignment="1" applyProtection="1">
      <alignment vertical="top" wrapText="1"/>
      <protection hidden="1"/>
    </xf>
    <xf numFmtId="167" fontId="5" fillId="0" borderId="25" xfId="3" applyNumberFormat="1" applyFont="1" applyFill="1" applyBorder="1" applyAlignment="1" applyProtection="1">
      <alignment vertical="top" wrapText="1"/>
      <protection hidden="1"/>
    </xf>
    <xf numFmtId="167" fontId="7" fillId="2" borderId="29" xfId="3" applyNumberFormat="1" applyFont="1" applyFill="1" applyBorder="1" applyAlignment="1" applyProtection="1">
      <alignment vertical="top" wrapText="1"/>
      <protection hidden="1"/>
    </xf>
    <xf numFmtId="167" fontId="7" fillId="2" borderId="30" xfId="3" applyNumberFormat="1" applyFont="1" applyFill="1" applyBorder="1" applyAlignment="1" applyProtection="1">
      <alignment vertical="top" wrapText="1"/>
      <protection hidden="1"/>
    </xf>
    <xf numFmtId="0" fontId="2" fillId="0" borderId="24" xfId="3" applyFont="1" applyBorder="1" applyProtection="1">
      <protection hidden="1"/>
    </xf>
    <xf numFmtId="0" fontId="2" fillId="0" borderId="0" xfId="3" applyFont="1" applyBorder="1" applyProtection="1">
      <protection hidden="1"/>
    </xf>
    <xf numFmtId="167" fontId="7" fillId="0" borderId="0" xfId="3" applyNumberFormat="1" applyFont="1" applyFill="1" applyBorder="1" applyAlignment="1" applyProtection="1">
      <alignment vertical="top" wrapText="1"/>
      <protection hidden="1"/>
    </xf>
    <xf numFmtId="167" fontId="7" fillId="10" borderId="30" xfId="3" applyNumberFormat="1" applyFont="1" applyFill="1" applyBorder="1" applyAlignment="1" applyProtection="1">
      <alignment vertical="top" wrapText="1"/>
      <protection hidden="1"/>
    </xf>
    <xf numFmtId="167" fontId="7" fillId="10" borderId="31" xfId="3" applyNumberFormat="1" applyFont="1" applyFill="1" applyBorder="1" applyAlignment="1" applyProtection="1">
      <alignment vertical="top" wrapText="1"/>
      <protection hidden="1"/>
    </xf>
    <xf numFmtId="0" fontId="1" fillId="0" borderId="0" xfId="3" applyNumberFormat="1" applyFont="1" applyBorder="1" applyAlignment="1" applyProtection="1">
      <alignment horizontal="justify"/>
      <protection hidden="1"/>
    </xf>
    <xf numFmtId="0" fontId="1" fillId="0" borderId="24" xfId="3" applyFont="1" applyBorder="1" applyProtection="1">
      <protection hidden="1"/>
    </xf>
    <xf numFmtId="0" fontId="4" fillId="0" borderId="19" xfId="3" applyBorder="1" applyProtection="1">
      <protection hidden="1"/>
    </xf>
    <xf numFmtId="0" fontId="1" fillId="0" borderId="21" xfId="3" applyFont="1" applyBorder="1" applyProtection="1">
      <protection hidden="1"/>
    </xf>
    <xf numFmtId="0" fontId="1" fillId="0" borderId="19" xfId="3" applyFont="1" applyBorder="1" applyProtection="1">
      <protection hidden="1"/>
    </xf>
    <xf numFmtId="0" fontId="1" fillId="0" borderId="20" xfId="3" applyFont="1" applyBorder="1" applyProtection="1">
      <protection hidden="1"/>
    </xf>
    <xf numFmtId="0" fontId="1" fillId="0" borderId="22" xfId="3" applyFont="1" applyBorder="1" applyProtection="1">
      <protection hidden="1"/>
    </xf>
    <xf numFmtId="0" fontId="4" fillId="0" borderId="0" xfId="3" applyBorder="1" applyProtection="1">
      <protection hidden="1"/>
    </xf>
    <xf numFmtId="0" fontId="5" fillId="3" borderId="3" xfId="3" applyFont="1" applyFill="1" applyBorder="1" applyAlignment="1" applyProtection="1">
      <alignment horizontal="center"/>
      <protection hidden="1"/>
    </xf>
    <xf numFmtId="0" fontId="5" fillId="9" borderId="3" xfId="3" applyFont="1" applyFill="1" applyBorder="1" applyAlignment="1" applyProtection="1">
      <alignment horizontal="center"/>
      <protection locked="0" hidden="1"/>
    </xf>
    <xf numFmtId="0" fontId="5" fillId="9" borderId="13" xfId="3" applyFont="1" applyFill="1" applyBorder="1" applyAlignment="1" applyProtection="1">
      <alignment horizontal="center"/>
      <protection locked="0" hidden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4" fontId="0" fillId="0" borderId="0" xfId="0" applyNumberFormat="1" applyFill="1" applyAlignment="1">
      <alignment horizontal="center"/>
    </xf>
    <xf numFmtId="14" fontId="0" fillId="0" borderId="0" xfId="0" applyNumberFormat="1"/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170" fontId="0" fillId="0" borderId="0" xfId="0" applyNumberFormat="1" applyProtection="1">
      <protection hidden="1"/>
    </xf>
    <xf numFmtId="14" fontId="0" fillId="9" borderId="0" xfId="0" applyNumberFormat="1" applyFill="1" applyAlignment="1" applyProtection="1">
      <alignment horizontal="center"/>
      <protection locked="0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14" fontId="0" fillId="0" borderId="2" xfId="0" applyNumberFormat="1" applyBorder="1"/>
    <xf numFmtId="14" fontId="9" fillId="0" borderId="2" xfId="0" applyNumberFormat="1" applyFont="1" applyBorder="1" applyAlignment="1">
      <alignment horizontal="center" vertical="center" wrapText="1"/>
    </xf>
    <xf numFmtId="0" fontId="0" fillId="9" borderId="12" xfId="0" applyFill="1" applyBorder="1" applyProtection="1">
      <protection locked="0"/>
    </xf>
    <xf numFmtId="0" fontId="0" fillId="9" borderId="6" xfId="0" applyFill="1" applyBorder="1" applyAlignment="1" applyProtection="1">
      <alignment horizontal="center"/>
      <protection locked="0"/>
    </xf>
    <xf numFmtId="9" fontId="8" fillId="0" borderId="6" xfId="4" applyFont="1" applyFill="1" applyBorder="1" applyAlignment="1">
      <alignment horizontal="center"/>
    </xf>
    <xf numFmtId="2" fontId="0" fillId="0" borderId="6" xfId="0" applyNumberFormat="1" applyBorder="1"/>
    <xf numFmtId="0" fontId="0" fillId="9" borderId="3" xfId="0" applyFill="1" applyBorder="1" applyProtection="1">
      <protection locked="0"/>
    </xf>
    <xf numFmtId="2" fontId="0" fillId="9" borderId="0" xfId="0" applyNumberForma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9" fontId="8" fillId="0" borderId="0" xfId="4" applyFont="1" applyBorder="1" applyAlignment="1">
      <alignment horizontal="center"/>
    </xf>
    <xf numFmtId="0" fontId="0" fillId="9" borderId="13" xfId="0" applyFill="1" applyBorder="1" applyProtection="1">
      <protection locked="0"/>
    </xf>
    <xf numFmtId="2" fontId="0" fillId="9" borderId="1" xfId="0" applyNumberFormat="1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9" fontId="8" fillId="0" borderId="1" xfId="4" applyFont="1" applyBorder="1" applyAlignment="1">
      <alignment horizontal="center"/>
    </xf>
    <xf numFmtId="2" fontId="0" fillId="9" borderId="7" xfId="0" applyNumberFormat="1" applyFill="1" applyBorder="1" applyAlignment="1" applyProtection="1">
      <alignment horizontal="center"/>
      <protection locked="0"/>
    </xf>
    <xf numFmtId="2" fontId="0" fillId="9" borderId="8" xfId="0" applyNumberFormat="1" applyFill="1" applyBorder="1" applyAlignment="1" applyProtection="1">
      <alignment horizontal="center"/>
      <protection locked="0"/>
    </xf>
    <xf numFmtId="14" fontId="0" fillId="9" borderId="9" xfId="0" applyNumberFormat="1" applyFill="1" applyBorder="1" applyAlignment="1" applyProtection="1">
      <alignment horizontal="center"/>
      <protection locked="0"/>
    </xf>
    <xf numFmtId="14" fontId="0" fillId="9" borderId="7" xfId="0" applyNumberFormat="1" applyFill="1" applyBorder="1" applyAlignment="1" applyProtection="1">
      <alignment horizontal="center"/>
      <protection locked="0"/>
    </xf>
    <xf numFmtId="14" fontId="0" fillId="9" borderId="8" xfId="0" applyNumberFormat="1" applyFill="1" applyBorder="1" applyAlignment="1" applyProtection="1">
      <alignment horizontal="center"/>
      <protection locked="0"/>
    </xf>
    <xf numFmtId="2" fontId="0" fillId="0" borderId="9" xfId="0" applyNumberFormat="1" applyBorder="1"/>
    <xf numFmtId="2" fontId="0" fillId="0" borderId="7" xfId="0" applyNumberFormat="1" applyBorder="1"/>
    <xf numFmtId="9" fontId="8" fillId="9" borderId="9" xfId="4" applyFont="1" applyFill="1" applyBorder="1" applyAlignment="1" applyProtection="1">
      <alignment horizontal="center"/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0" borderId="32" xfId="3" applyFont="1" applyBorder="1" applyAlignment="1" applyProtection="1">
      <alignment horizontal="left" wrapText="1"/>
      <protection hidden="1"/>
    </xf>
    <xf numFmtId="0" fontId="5" fillId="0" borderId="33" xfId="3" applyFont="1" applyBorder="1" applyProtection="1">
      <protection hidden="1"/>
    </xf>
    <xf numFmtId="0" fontId="7" fillId="0" borderId="34" xfId="3" applyFont="1" applyBorder="1" applyProtection="1">
      <protection hidden="1"/>
    </xf>
    <xf numFmtId="49" fontId="5" fillId="9" borderId="34" xfId="3" applyNumberFormat="1" applyFont="1" applyFill="1" applyBorder="1" applyAlignment="1" applyProtection="1">
      <alignment vertical="top"/>
      <protection locked="0" hidden="1"/>
    </xf>
    <xf numFmtId="49" fontId="5" fillId="2" borderId="34" xfId="3" applyNumberFormat="1" applyFont="1" applyFill="1" applyBorder="1" applyAlignment="1" applyProtection="1">
      <alignment vertical="top"/>
      <protection hidden="1"/>
    </xf>
    <xf numFmtId="49" fontId="7" fillId="2" borderId="34" xfId="3" applyNumberFormat="1" applyFont="1" applyFill="1" applyBorder="1" applyAlignment="1" applyProtection="1">
      <alignment vertical="top"/>
      <protection hidden="1"/>
    </xf>
    <xf numFmtId="0" fontId="1" fillId="0" borderId="34" xfId="3" applyFont="1" applyBorder="1" applyProtection="1">
      <protection hidden="1"/>
    </xf>
    <xf numFmtId="0" fontId="4" fillId="0" borderId="33" xfId="3" applyBorder="1" applyProtection="1">
      <protection hidden="1"/>
    </xf>
    <xf numFmtId="14" fontId="9" fillId="0" borderId="9" xfId="0" applyNumberFormat="1" applyFont="1" applyBorder="1" applyAlignment="1">
      <alignment horizontal="center" vertical="center" wrapText="1"/>
    </xf>
    <xf numFmtId="49" fontId="5" fillId="3" borderId="34" xfId="3" applyNumberFormat="1" applyFont="1" applyFill="1" applyBorder="1" applyAlignment="1" applyProtection="1">
      <alignment vertical="top"/>
      <protection hidden="1"/>
    </xf>
    <xf numFmtId="0" fontId="11" fillId="0" borderId="0" xfId="0" applyFont="1" applyBorder="1" applyAlignment="1">
      <alignment horizontal="right"/>
    </xf>
    <xf numFmtId="0" fontId="9" fillId="5" borderId="0" xfId="0" applyFont="1" applyFill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9" fillId="0" borderId="12" xfId="0" applyFont="1" applyBorder="1" applyProtection="1">
      <protection hidden="1"/>
    </xf>
    <xf numFmtId="0" fontId="0" fillId="0" borderId="14" xfId="0" applyBorder="1" applyProtection="1">
      <protection hidden="1"/>
    </xf>
    <xf numFmtId="171" fontId="0" fillId="0" borderId="3" xfId="0" applyNumberFormat="1" applyBorder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34" xfId="3" applyFont="1" applyBorder="1" applyAlignment="1" applyProtection="1">
      <alignment horizontal="left" wrapText="1"/>
      <protection hidden="1"/>
    </xf>
    <xf numFmtId="0" fontId="7" fillId="0" borderId="0" xfId="3" applyNumberFormat="1" applyFont="1" applyBorder="1" applyAlignment="1" applyProtection="1">
      <alignment horizontal="right" wrapText="1"/>
      <protection hidden="1"/>
    </xf>
    <xf numFmtId="0" fontId="7" fillId="0" borderId="24" xfId="3" applyFont="1" applyFill="1" applyBorder="1" applyAlignment="1" applyProtection="1">
      <alignment horizontal="center" wrapText="1"/>
      <protection hidden="1"/>
    </xf>
    <xf numFmtId="0" fontId="7" fillId="0" borderId="0" xfId="3" applyFont="1" applyFill="1" applyBorder="1" applyAlignment="1" applyProtection="1">
      <alignment horizontal="center" wrapText="1"/>
      <protection hidden="1"/>
    </xf>
    <xf numFmtId="0" fontId="7" fillId="0" borderId="0" xfId="3" applyFont="1" applyBorder="1" applyAlignment="1" applyProtection="1">
      <alignment horizontal="center" wrapText="1"/>
      <protection hidden="1"/>
    </xf>
    <xf numFmtId="0" fontId="7" fillId="10" borderId="23" xfId="3" applyFont="1" applyFill="1" applyBorder="1" applyAlignment="1" applyProtection="1">
      <alignment horizontal="center" wrapText="1"/>
      <protection hidden="1"/>
    </xf>
    <xf numFmtId="0" fontId="7" fillId="10" borderId="25" xfId="3" applyFont="1" applyFill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 applyProtection="1">
      <alignment horizontal="center"/>
      <protection hidden="1"/>
    </xf>
    <xf numFmtId="0" fontId="9" fillId="0" borderId="0" xfId="0" applyFont="1" applyAlignment="1">
      <alignment horizontal="right"/>
    </xf>
    <xf numFmtId="49" fontId="9" fillId="0" borderId="0" xfId="0" applyNumberFormat="1" applyFont="1"/>
    <xf numFmtId="173" fontId="0" fillId="0" borderId="0" xfId="0" applyNumberFormat="1"/>
    <xf numFmtId="173" fontId="0" fillId="0" borderId="1" xfId="0" applyNumberFormat="1" applyBorder="1"/>
    <xf numFmtId="173" fontId="9" fillId="0" borderId="0" xfId="0" applyNumberFormat="1" applyFont="1"/>
    <xf numFmtId="173" fontId="9" fillId="0" borderId="35" xfId="0" applyNumberFormat="1" applyFont="1" applyBorder="1"/>
    <xf numFmtId="2" fontId="0" fillId="9" borderId="9" xfId="0" applyNumberFormat="1" applyFill="1" applyBorder="1" applyAlignment="1" applyProtection="1">
      <alignment horizontal="center"/>
      <protection locked="0"/>
    </xf>
    <xf numFmtId="2" fontId="0" fillId="9" borderId="6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9" fillId="0" borderId="3" xfId="0" applyFont="1" applyBorder="1" applyProtection="1">
      <protection hidden="1"/>
    </xf>
    <xf numFmtId="0" fontId="0" fillId="9" borderId="14" xfId="0" applyFill="1" applyBorder="1" applyAlignment="1" applyProtection="1">
      <alignment horizontal="center"/>
      <protection locked="0" hidden="1"/>
    </xf>
    <xf numFmtId="169" fontId="0" fillId="9" borderId="4" xfId="0" applyNumberFormat="1" applyFill="1" applyBorder="1" applyAlignment="1" applyProtection="1">
      <alignment horizontal="center"/>
      <protection locked="0" hidden="1"/>
    </xf>
    <xf numFmtId="0" fontId="0" fillId="0" borderId="3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9" fillId="0" borderId="10" xfId="0" applyFont="1" applyBorder="1" applyProtection="1">
      <protection hidden="1"/>
    </xf>
    <xf numFmtId="0" fontId="9" fillId="0" borderId="11" xfId="0" applyFont="1" applyBorder="1" applyAlignment="1" applyProtection="1">
      <alignment horizontal="center"/>
      <protection hidden="1"/>
    </xf>
    <xf numFmtId="0" fontId="15" fillId="0" borderId="3" xfId="0" applyFont="1" applyBorder="1" applyAlignment="1" applyProtection="1">
      <alignment vertical="top"/>
      <protection hidden="1"/>
    </xf>
    <xf numFmtId="0" fontId="0" fillId="0" borderId="0" xfId="0"/>
    <xf numFmtId="0" fontId="0" fillId="0" borderId="0" xfId="0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0" borderId="0" xfId="0" applyBorder="1"/>
    <xf numFmtId="0" fontId="0" fillId="0" borderId="3" xfId="0" applyBorder="1"/>
    <xf numFmtId="0" fontId="0" fillId="0" borderId="0" xfId="0"/>
    <xf numFmtId="43" fontId="8" fillId="5" borderId="14" xfId="1" applyFont="1" applyFill="1" applyBorder="1" applyAlignment="1" applyProtection="1">
      <alignment horizontal="right"/>
      <protection hidden="1"/>
    </xf>
    <xf numFmtId="43" fontId="8" fillId="5" borderId="4" xfId="1" applyFont="1" applyFill="1" applyBorder="1" applyAlignment="1" applyProtection="1">
      <alignment horizontal="right"/>
      <protection hidden="1"/>
    </xf>
    <xf numFmtId="43" fontId="9" fillId="5" borderId="5" xfId="1" applyFont="1" applyFill="1" applyBorder="1" applyAlignment="1" applyProtection="1">
      <alignment horizontal="right"/>
      <protection hidden="1"/>
    </xf>
    <xf numFmtId="164" fontId="8" fillId="5" borderId="5" xfId="4" applyNumberFormat="1" applyFont="1" applyFill="1" applyBorder="1" applyAlignment="1" applyProtection="1">
      <alignment horizontal="right"/>
      <protection hidden="1"/>
    </xf>
    <xf numFmtId="0" fontId="0" fillId="6" borderId="0" xfId="0" applyFill="1" applyAlignment="1" applyProtection="1">
      <alignment horizontal="center"/>
      <protection hidden="1"/>
    </xf>
    <xf numFmtId="43" fontId="9" fillId="6" borderId="5" xfId="1" applyFont="1" applyFill="1" applyBorder="1" applyAlignment="1" applyProtection="1">
      <alignment horizontal="right"/>
      <protection hidden="1"/>
    </xf>
    <xf numFmtId="0" fontId="0" fillId="7" borderId="0" xfId="0" applyFill="1" applyAlignment="1" applyProtection="1">
      <alignment horizontal="center"/>
      <protection hidden="1"/>
    </xf>
    <xf numFmtId="43" fontId="9" fillId="7" borderId="5" xfId="1" applyFont="1" applyFill="1" applyBorder="1" applyAlignment="1" applyProtection="1">
      <alignment horizontal="right"/>
      <protection hidden="1"/>
    </xf>
    <xf numFmtId="164" fontId="8" fillId="5" borderId="14" xfId="4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14" xfId="0" applyBorder="1" applyProtection="1">
      <protection hidden="1"/>
    </xf>
    <xf numFmtId="4" fontId="9" fillId="0" borderId="5" xfId="0" applyNumberFormat="1" applyFont="1" applyBorder="1" applyProtection="1">
      <protection hidden="1"/>
    </xf>
    <xf numFmtId="43" fontId="0" fillId="0" borderId="4" xfId="0" applyNumberFormat="1" applyBorder="1" applyProtection="1">
      <protection hidden="1"/>
    </xf>
    <xf numFmtId="43" fontId="0" fillId="0" borderId="5" xfId="0" applyNumberFormat="1" applyBorder="1" applyProtection="1">
      <protection hidden="1"/>
    </xf>
    <xf numFmtId="43" fontId="9" fillId="0" borderId="5" xfId="0" applyNumberFormat="1" applyFon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9" borderId="4" xfId="0" applyFill="1" applyBorder="1" applyAlignment="1" applyProtection="1">
      <alignment horizontal="center"/>
      <protection locked="0" hidden="1"/>
    </xf>
    <xf numFmtId="0" fontId="9" fillId="0" borderId="0" xfId="0" applyFont="1"/>
    <xf numFmtId="4" fontId="0" fillId="13" borderId="4" xfId="0" applyNumberFormat="1" applyFill="1" applyBorder="1" applyProtection="1">
      <protection hidden="1"/>
    </xf>
    <xf numFmtId="4" fontId="0" fillId="13" borderId="5" xfId="0" applyNumberFormat="1" applyFill="1" applyBorder="1" applyProtection="1">
      <protection hidden="1"/>
    </xf>
    <xf numFmtId="0" fontId="17" fillId="0" borderId="0" xfId="0" applyFont="1" applyProtection="1">
      <protection hidden="1"/>
    </xf>
    <xf numFmtId="4" fontId="0" fillId="14" borderId="4" xfId="0" applyNumberFormat="1" applyFill="1" applyBorder="1" applyProtection="1">
      <protection hidden="1"/>
    </xf>
    <xf numFmtId="4" fontId="0" fillId="14" borderId="5" xfId="0" applyNumberFormat="1" applyFill="1" applyBorder="1" applyProtection="1">
      <protection hidden="1"/>
    </xf>
    <xf numFmtId="0" fontId="18" fillId="0" borderId="0" xfId="0" applyFont="1" applyProtection="1">
      <protection hidden="1"/>
    </xf>
    <xf numFmtId="43" fontId="9" fillId="0" borderId="0" xfId="0" applyNumberFormat="1" applyFont="1" applyBorder="1" applyProtection="1">
      <protection hidden="1"/>
    </xf>
    <xf numFmtId="2" fontId="0" fillId="0" borderId="1" xfId="0" applyNumberFormat="1" applyBorder="1" applyProtection="1">
      <protection hidden="1"/>
    </xf>
    <xf numFmtId="2" fontId="9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0" fillId="0" borderId="0" xfId="0"/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43" fontId="9" fillId="0" borderId="0" xfId="0" applyNumberFormat="1" applyFont="1" applyAlignment="1" applyProtection="1">
      <alignment horizontal="center"/>
      <protection hidden="1"/>
    </xf>
    <xf numFmtId="43" fontId="8" fillId="6" borderId="14" xfId="1" applyFont="1" applyFill="1" applyBorder="1" applyAlignment="1" applyProtection="1">
      <alignment horizontal="right"/>
      <protection hidden="1"/>
    </xf>
    <xf numFmtId="43" fontId="8" fillId="6" borderId="4" xfId="1" applyFont="1" applyFill="1" applyBorder="1" applyAlignment="1" applyProtection="1">
      <alignment horizontal="right"/>
      <protection hidden="1"/>
    </xf>
    <xf numFmtId="43" fontId="9" fillId="6" borderId="5" xfId="1" applyFont="1" applyFill="1" applyBorder="1" applyAlignment="1" applyProtection="1">
      <alignment horizontal="right"/>
      <protection hidden="1"/>
    </xf>
    <xf numFmtId="164" fontId="8" fillId="6" borderId="14" xfId="4" applyNumberFormat="1" applyFont="1" applyFill="1" applyBorder="1" applyAlignment="1" applyProtection="1">
      <alignment horizontal="right"/>
      <protection hidden="1"/>
    </xf>
    <xf numFmtId="164" fontId="8" fillId="6" borderId="5" xfId="4" applyNumberFormat="1" applyFont="1" applyFill="1" applyBorder="1" applyAlignment="1" applyProtection="1">
      <alignment horizontal="right"/>
      <protection hidden="1"/>
    </xf>
    <xf numFmtId="43" fontId="8" fillId="7" borderId="14" xfId="1" applyFont="1" applyFill="1" applyBorder="1" applyAlignment="1" applyProtection="1">
      <alignment horizontal="right"/>
      <protection hidden="1"/>
    </xf>
    <xf numFmtId="43" fontId="8" fillId="7" borderId="4" xfId="1" applyFont="1" applyFill="1" applyBorder="1" applyAlignment="1" applyProtection="1">
      <alignment horizontal="right"/>
      <protection hidden="1"/>
    </xf>
    <xf numFmtId="43" fontId="9" fillId="7" borderId="5" xfId="1" applyFont="1" applyFill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9" fillId="0" borderId="0" xfId="0" applyFont="1"/>
    <xf numFmtId="164" fontId="8" fillId="7" borderId="14" xfId="4" applyNumberFormat="1" applyFont="1" applyFill="1" applyBorder="1" applyAlignment="1" applyProtection="1">
      <alignment horizontal="right"/>
      <protection hidden="1"/>
    </xf>
    <xf numFmtId="164" fontId="8" fillId="7" borderId="5" xfId="4" applyNumberFormat="1" applyFont="1" applyFill="1" applyBorder="1" applyAlignment="1" applyProtection="1">
      <alignment horizontal="right"/>
      <protection hidden="1"/>
    </xf>
    <xf numFmtId="0" fontId="0" fillId="0" borderId="0" xfId="0" applyBorder="1" applyAlignment="1">
      <alignment horizontal="center"/>
    </xf>
    <xf numFmtId="0" fontId="9" fillId="0" borderId="1" xfId="0" applyFont="1" applyBorder="1" applyAlignment="1" applyProtection="1">
      <alignment horizontal="right"/>
      <protection hidden="1"/>
    </xf>
    <xf numFmtId="49" fontId="5" fillId="9" borderId="36" xfId="3" applyNumberFormat="1" applyFont="1" applyFill="1" applyBorder="1" applyAlignment="1" applyProtection="1">
      <alignment vertical="top"/>
      <protection locked="0" hidden="1"/>
    </xf>
    <xf numFmtId="49" fontId="5" fillId="9" borderId="36" xfId="3" applyNumberFormat="1" applyFont="1" applyFill="1" applyBorder="1" applyAlignment="1" applyProtection="1">
      <alignment vertical="top"/>
      <protection locked="0" hidden="1"/>
    </xf>
    <xf numFmtId="49" fontId="5" fillId="9" borderId="36" xfId="3" applyNumberFormat="1" applyFont="1" applyFill="1" applyBorder="1" applyAlignment="1" applyProtection="1">
      <alignment vertical="top"/>
      <protection locked="0" hidden="1"/>
    </xf>
    <xf numFmtId="49" fontId="5" fillId="9" borderId="36" xfId="3" applyNumberFormat="1" applyFont="1" applyFill="1" applyBorder="1" applyAlignment="1" applyProtection="1">
      <alignment vertical="top"/>
      <protection locked="0"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5" borderId="3" xfId="0" applyFill="1" applyBorder="1" applyProtection="1">
      <protection hidden="1"/>
    </xf>
    <xf numFmtId="0" fontId="0" fillId="6" borderId="3" xfId="0" applyFill="1" applyBorder="1" applyProtection="1">
      <protection hidden="1"/>
    </xf>
    <xf numFmtId="0" fontId="0" fillId="7" borderId="3" xfId="0" applyFill="1" applyBorder="1" applyProtection="1">
      <protection hidden="1"/>
    </xf>
    <xf numFmtId="2" fontId="0" fillId="0" borderId="0" xfId="0" applyNumberFormat="1" applyAlignment="1" applyProtection="1">
      <alignment horizontal="center"/>
      <protection hidden="1"/>
    </xf>
    <xf numFmtId="49" fontId="5" fillId="9" borderId="36" xfId="3" applyNumberFormat="1" applyFont="1" applyFill="1" applyBorder="1" applyAlignment="1" applyProtection="1">
      <alignment vertical="top"/>
      <protection locked="0" hidden="1"/>
    </xf>
    <xf numFmtId="0" fontId="9" fillId="0" borderId="0" xfId="0" applyFont="1" applyAlignment="1" applyProtection="1">
      <alignment horizontal="center"/>
      <protection hidden="1"/>
    </xf>
    <xf numFmtId="0" fontId="0" fillId="0" borderId="14" xfId="0" applyBorder="1"/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43" fontId="0" fillId="0" borderId="0" xfId="0" applyNumberFormat="1" applyProtection="1">
      <protection hidden="1"/>
    </xf>
    <xf numFmtId="43" fontId="0" fillId="0" borderId="0" xfId="0" applyNumberFormat="1" applyFill="1" applyBorder="1" applyProtection="1">
      <protection hidden="1"/>
    </xf>
    <xf numFmtId="43" fontId="0" fillId="0" borderId="0" xfId="0" applyNumberFormat="1" applyBorder="1" applyProtection="1">
      <protection hidden="1"/>
    </xf>
    <xf numFmtId="0" fontId="9" fillId="0" borderId="0" xfId="0" applyFont="1" applyBorder="1" applyProtection="1">
      <protection hidden="1"/>
    </xf>
    <xf numFmtId="0" fontId="9" fillId="11" borderId="0" xfId="0" applyFont="1" applyFill="1" applyBorder="1" applyProtection="1">
      <protection hidden="1"/>
    </xf>
    <xf numFmtId="165" fontId="0" fillId="11" borderId="0" xfId="0" applyNumberFormat="1" applyFont="1" applyFill="1" applyBorder="1" applyProtection="1">
      <protection hidden="1"/>
    </xf>
    <xf numFmtId="43" fontId="0" fillId="11" borderId="0" xfId="0" applyNumberFormat="1" applyFill="1" applyProtection="1">
      <protection hidden="1"/>
    </xf>
    <xf numFmtId="0" fontId="9" fillId="0" borderId="2" xfId="0" applyFont="1" applyFill="1" applyBorder="1" applyAlignment="1" applyProtection="1">
      <alignment wrapText="1"/>
      <protection hidden="1"/>
    </xf>
    <xf numFmtId="43" fontId="9" fillId="8" borderId="2" xfId="0" applyNumberFormat="1" applyFont="1" applyFill="1" applyBorder="1" applyProtection="1">
      <protection hidden="1"/>
    </xf>
    <xf numFmtId="165" fontId="0" fillId="11" borderId="8" xfId="0" applyNumberFormat="1" applyFont="1" applyFill="1" applyBorder="1" applyProtection="1">
      <protection hidden="1"/>
    </xf>
    <xf numFmtId="0" fontId="9" fillId="11" borderId="2" xfId="0" applyFont="1" applyFill="1" applyBorder="1" applyAlignment="1" applyProtection="1">
      <alignment wrapText="1"/>
      <protection hidden="1"/>
    </xf>
    <xf numFmtId="43" fontId="0" fillId="11" borderId="2" xfId="0" applyNumberFormat="1" applyFill="1" applyBorder="1" applyProtection="1">
      <protection hidden="1"/>
    </xf>
    <xf numFmtId="43" fontId="0" fillId="11" borderId="9" xfId="0" applyNumberFormat="1" applyFill="1" applyBorder="1" applyProtection="1">
      <protection hidden="1"/>
    </xf>
    <xf numFmtId="0" fontId="0" fillId="12" borderId="2" xfId="0" applyFill="1" applyBorder="1" applyProtection="1">
      <protection hidden="1"/>
    </xf>
    <xf numFmtId="174" fontId="0" fillId="12" borderId="2" xfId="0" applyNumberFormat="1" applyFill="1" applyBorder="1" applyProtection="1">
      <protection hidden="1"/>
    </xf>
    <xf numFmtId="0" fontId="0" fillId="9" borderId="0" xfId="0" applyFill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 hidden="1"/>
    </xf>
    <xf numFmtId="0" fontId="0" fillId="9" borderId="1" xfId="0" applyFill="1" applyBorder="1" applyAlignment="1" applyProtection="1">
      <alignment horizontal="center"/>
      <protection locked="0" hidden="1"/>
    </xf>
    <xf numFmtId="166" fontId="0" fillId="0" borderId="0" xfId="0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vertical="center"/>
      <protection hidden="1"/>
    </xf>
    <xf numFmtId="174" fontId="0" fillId="0" borderId="4" xfId="0" applyNumberFormat="1" applyBorder="1" applyProtection="1">
      <protection hidden="1"/>
    </xf>
    <xf numFmtId="174" fontId="19" fillId="0" borderId="5" xfId="3" applyNumberFormat="1" applyFont="1" applyFill="1" applyBorder="1" applyAlignment="1" applyProtection="1">
      <alignment vertical="top" wrapText="1"/>
    </xf>
    <xf numFmtId="174" fontId="9" fillId="0" borderId="4" xfId="0" applyNumberFormat="1" applyFont="1" applyBorder="1" applyProtection="1">
      <protection hidden="1"/>
    </xf>
    <xf numFmtId="174" fontId="0" fillId="0" borderId="5" xfId="0" applyNumberFormat="1" applyFont="1" applyBorder="1" applyProtection="1">
      <protection hidden="1"/>
    </xf>
    <xf numFmtId="174" fontId="9" fillId="0" borderId="11" xfId="0" applyNumberFormat="1" applyFont="1" applyBorder="1" applyProtection="1">
      <protection hidden="1"/>
    </xf>
    <xf numFmtId="0" fontId="9" fillId="0" borderId="11" xfId="0" applyFont="1" applyFill="1" applyBorder="1" applyAlignment="1" applyProtection="1">
      <alignment wrapText="1"/>
      <protection hidden="1"/>
    </xf>
    <xf numFmtId="43" fontId="9" fillId="8" borderId="11" xfId="0" applyNumberFormat="1" applyFont="1" applyFill="1" applyBorder="1" applyProtection="1">
      <protection hidden="1"/>
    </xf>
    <xf numFmtId="165" fontId="0" fillId="11" borderId="5" xfId="0" applyNumberFormat="1" applyFont="1" applyFill="1" applyBorder="1" applyProtection="1">
      <protection hidden="1"/>
    </xf>
    <xf numFmtId="0" fontId="9" fillId="11" borderId="11" xfId="0" applyFont="1" applyFill="1" applyBorder="1" applyAlignment="1" applyProtection="1">
      <alignment wrapText="1"/>
      <protection hidden="1"/>
    </xf>
    <xf numFmtId="43" fontId="0" fillId="11" borderId="11" xfId="0" applyNumberFormat="1" applyFill="1" applyBorder="1" applyProtection="1">
      <protection hidden="1"/>
    </xf>
    <xf numFmtId="43" fontId="0" fillId="11" borderId="14" xfId="0" applyNumberFormat="1" applyFill="1" applyBorder="1" applyProtection="1">
      <protection hidden="1"/>
    </xf>
    <xf numFmtId="174" fontId="0" fillId="0" borderId="0" xfId="0" applyNumberFormat="1" applyBorder="1" applyProtection="1">
      <protection hidden="1"/>
    </xf>
    <xf numFmtId="174" fontId="19" fillId="0" borderId="0" xfId="3" applyNumberFormat="1" applyFont="1" applyFill="1" applyBorder="1" applyAlignment="1" applyProtection="1">
      <alignment vertical="top" wrapText="1"/>
    </xf>
    <xf numFmtId="174" fontId="9" fillId="0" borderId="0" xfId="0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174" fontId="0" fillId="0" borderId="0" xfId="0" applyNumberFormat="1" applyFont="1" applyBorder="1" applyProtection="1">
      <protection hidden="1"/>
    </xf>
    <xf numFmtId="0" fontId="0" fillId="0" borderId="0" xfId="0" applyFont="1" applyBorder="1" applyAlignment="1" applyProtection="1">
      <alignment wrapText="1"/>
      <protection hidden="1"/>
    </xf>
    <xf numFmtId="0" fontId="0" fillId="11" borderId="0" xfId="0" applyFill="1" applyBorder="1" applyProtection="1">
      <protection hidden="1"/>
    </xf>
    <xf numFmtId="43" fontId="0" fillId="11" borderId="0" xfId="0" applyNumberFormat="1" applyFill="1" applyBorder="1" applyProtection="1"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9" fillId="8" borderId="0" xfId="0" applyFont="1" applyFill="1" applyBorder="1" applyProtection="1">
      <protection hidden="1"/>
    </xf>
    <xf numFmtId="43" fontId="9" fillId="8" borderId="0" xfId="0" applyNumberFormat="1" applyFont="1" applyFill="1" applyBorder="1" applyProtection="1">
      <protection hidden="1"/>
    </xf>
    <xf numFmtId="0" fontId="9" fillId="11" borderId="0" xfId="0" applyFont="1" applyFill="1" applyBorder="1" applyAlignment="1" applyProtection="1">
      <alignment wrapText="1"/>
      <protection hidden="1"/>
    </xf>
    <xf numFmtId="10" fontId="5" fillId="9" borderId="17" xfId="3" applyNumberFormat="1" applyFont="1" applyFill="1" applyBorder="1" applyAlignment="1" applyProtection="1">
      <alignment horizontal="center"/>
      <protection locked="0" hidden="1"/>
    </xf>
    <xf numFmtId="0" fontId="7" fillId="0" borderId="0" xfId="3" applyFont="1" applyBorder="1" applyProtection="1"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>
      <alignment horizontal="center" wrapText="1"/>
    </xf>
    <xf numFmtId="0" fontId="9" fillId="0" borderId="0" xfId="0" applyFont="1" applyFill="1" applyBorder="1" applyProtection="1">
      <protection hidden="1"/>
    </xf>
    <xf numFmtId="43" fontId="9" fillId="0" borderId="0" xfId="1" applyFont="1" applyFill="1" applyBorder="1" applyAlignment="1" applyProtection="1">
      <alignment horizontal="right"/>
      <protection hidden="1"/>
    </xf>
    <xf numFmtId="43" fontId="9" fillId="5" borderId="11" xfId="1" applyFont="1" applyFill="1" applyBorder="1" applyAlignment="1" applyProtection="1">
      <alignment horizontal="right"/>
      <protection hidden="1"/>
    </xf>
    <xf numFmtId="0" fontId="0" fillId="5" borderId="0" xfId="0" applyFont="1" applyFill="1" applyProtection="1">
      <protection hidden="1"/>
    </xf>
    <xf numFmtId="0" fontId="9" fillId="15" borderId="0" xfId="0" applyFont="1" applyFill="1" applyAlignment="1">
      <alignment wrapText="1"/>
    </xf>
    <xf numFmtId="0" fontId="0" fillId="15" borderId="0" xfId="0" applyFill="1" applyProtection="1">
      <protection hidden="1"/>
    </xf>
    <xf numFmtId="0" fontId="9" fillId="15" borderId="0" xfId="0" applyFont="1" applyFill="1" applyProtection="1">
      <protection hidden="1"/>
    </xf>
    <xf numFmtId="0" fontId="0" fillId="15" borderId="0" xfId="0" applyFill="1" applyAlignment="1" applyProtection="1">
      <alignment horizontal="center"/>
      <protection hidden="1"/>
    </xf>
    <xf numFmtId="0" fontId="0" fillId="15" borderId="12" xfId="0" applyFill="1" applyBorder="1" applyProtection="1">
      <protection hidden="1"/>
    </xf>
    <xf numFmtId="43" fontId="8" fillId="15" borderId="14" xfId="1" applyFont="1" applyFill="1" applyBorder="1" applyAlignment="1" applyProtection="1">
      <alignment horizontal="right"/>
      <protection hidden="1"/>
    </xf>
    <xf numFmtId="0" fontId="0" fillId="15" borderId="3" xfId="0" applyFill="1" applyBorder="1" applyProtection="1">
      <protection hidden="1"/>
    </xf>
    <xf numFmtId="43" fontId="8" fillId="15" borderId="4" xfId="1" applyFont="1" applyFill="1" applyBorder="1" applyAlignment="1" applyProtection="1">
      <alignment horizontal="right"/>
      <protection hidden="1"/>
    </xf>
    <xf numFmtId="0" fontId="9" fillId="15" borderId="13" xfId="0" applyFont="1" applyFill="1" applyBorder="1" applyProtection="1">
      <protection hidden="1"/>
    </xf>
    <xf numFmtId="43" fontId="9" fillId="15" borderId="5" xfId="1" applyFont="1" applyFill="1" applyBorder="1" applyAlignment="1" applyProtection="1">
      <alignment horizontal="right"/>
      <protection hidden="1"/>
    </xf>
    <xf numFmtId="164" fontId="8" fillId="15" borderId="14" xfId="4" applyNumberFormat="1" applyFont="1" applyFill="1" applyBorder="1" applyAlignment="1" applyProtection="1">
      <alignment horizontal="right"/>
      <protection hidden="1"/>
    </xf>
    <xf numFmtId="0" fontId="0" fillId="15" borderId="13" xfId="0" applyFill="1" applyBorder="1" applyProtection="1">
      <protection hidden="1"/>
    </xf>
    <xf numFmtId="164" fontId="8" fillId="15" borderId="5" xfId="4" applyNumberFormat="1" applyFont="1" applyFill="1" applyBorder="1" applyAlignment="1" applyProtection="1">
      <alignment horizontal="right"/>
      <protection hidden="1"/>
    </xf>
    <xf numFmtId="0" fontId="1" fillId="0" borderId="19" xfId="3" applyNumberFormat="1" applyFont="1" applyBorder="1" applyAlignment="1" applyProtection="1">
      <alignment horizontal="justify"/>
      <protection hidden="1"/>
    </xf>
    <xf numFmtId="0" fontId="7" fillId="0" borderId="15" xfId="3" applyNumberFormat="1" applyFont="1" applyBorder="1" applyAlignment="1" applyProtection="1">
      <alignment horizontal="right" wrapText="1"/>
      <protection hidden="1"/>
    </xf>
    <xf numFmtId="0" fontId="7" fillId="0" borderId="24" xfId="3" applyNumberFormat="1" applyFont="1" applyBorder="1" applyAlignment="1" applyProtection="1">
      <alignment horizontal="right" wrapText="1"/>
      <protection hidden="1"/>
    </xf>
    <xf numFmtId="0" fontId="5" fillId="0" borderId="21" xfId="3" applyNumberFormat="1" applyFont="1" applyBorder="1" applyAlignment="1" applyProtection="1">
      <alignment horizontal="justify"/>
      <protection hidden="1"/>
    </xf>
    <xf numFmtId="0" fontId="5" fillId="0" borderId="24" xfId="3" applyNumberFormat="1" applyFont="1" applyBorder="1" applyAlignment="1" applyProtection="1">
      <alignment horizontal="justify"/>
      <protection hidden="1"/>
    </xf>
    <xf numFmtId="167" fontId="5" fillId="2" borderId="24" xfId="3" applyNumberFormat="1" applyFont="1" applyFill="1" applyBorder="1" applyAlignment="1" applyProtection="1">
      <alignment vertical="top" wrapText="1"/>
      <protection hidden="1"/>
    </xf>
    <xf numFmtId="167" fontId="7" fillId="2" borderId="37" xfId="3" applyNumberFormat="1" applyFont="1" applyFill="1" applyBorder="1" applyAlignment="1" applyProtection="1">
      <alignment vertical="top" wrapText="1"/>
      <protection hidden="1"/>
    </xf>
    <xf numFmtId="0" fontId="9" fillId="12" borderId="2" xfId="0" applyFont="1" applyFill="1" applyBorder="1" applyAlignment="1" applyProtection="1">
      <alignment vertical="center" wrapText="1"/>
      <protection hidden="1"/>
    </xf>
    <xf numFmtId="0" fontId="9" fillId="12" borderId="2" xfId="0" applyFont="1" applyFill="1" applyBorder="1" applyAlignment="1" applyProtection="1">
      <alignment horizontal="right" vertical="center"/>
      <protection hidden="1"/>
    </xf>
    <xf numFmtId="0" fontId="21" fillId="0" borderId="0" xfId="3" applyNumberFormat="1" applyFont="1" applyFill="1" applyBorder="1" applyAlignment="1" applyProtection="1">
      <protection hidden="1"/>
    </xf>
    <xf numFmtId="2" fontId="0" fillId="0" borderId="7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2" fontId="0" fillId="0" borderId="8" xfId="0" applyNumberFormat="1" applyBorder="1" applyProtection="1">
      <protection hidden="1"/>
    </xf>
    <xf numFmtId="0" fontId="9" fillId="4" borderId="8" xfId="0" applyFont="1" applyFill="1" applyBorder="1" applyProtection="1">
      <protection hidden="1"/>
    </xf>
    <xf numFmtId="0" fontId="9" fillId="9" borderId="0" xfId="0" applyFont="1" applyFill="1" applyAlignment="1" applyProtection="1">
      <alignment horizontal="left"/>
      <protection locked="0" hidden="1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1" fillId="0" borderId="4" xfId="0" applyFont="1" applyBorder="1" applyAlignment="1" applyProtection="1">
      <alignment horizontal="right"/>
      <protection hidden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1" fillId="0" borderId="0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9" fillId="5" borderId="0" xfId="0" applyFont="1" applyFill="1" applyAlignment="1" applyProtection="1">
      <alignment horizontal="left"/>
      <protection hidden="1"/>
    </xf>
    <xf numFmtId="0" fontId="0" fillId="0" borderId="12" xfId="0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left"/>
      <protection hidden="1"/>
    </xf>
    <xf numFmtId="0" fontId="0" fillId="0" borderId="13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172" fontId="7" fillId="9" borderId="0" xfId="3" quotePrefix="1" applyNumberFormat="1" applyFont="1" applyFill="1" applyBorder="1" applyAlignment="1" applyProtection="1">
      <alignment horizontal="center" vertical="center"/>
      <protection locked="0" hidden="1"/>
    </xf>
    <xf numFmtId="0" fontId="6" fillId="0" borderId="19" xfId="3" applyFont="1" applyBorder="1" applyAlignment="1" applyProtection="1">
      <alignment horizontal="center" vertical="center"/>
      <protection hidden="1"/>
    </xf>
    <xf numFmtId="0" fontId="6" fillId="0" borderId="0" xfId="3" applyFont="1" applyBorder="1" applyAlignment="1" applyProtection="1">
      <alignment horizontal="left" vertical="center"/>
      <protection hidden="1"/>
    </xf>
    <xf numFmtId="0" fontId="6" fillId="0" borderId="19" xfId="3" applyFont="1" applyBorder="1" applyAlignment="1" applyProtection="1">
      <alignment horizontal="left" vertical="center"/>
      <protection hidden="1"/>
    </xf>
    <xf numFmtId="0" fontId="7" fillId="0" borderId="19" xfId="3" applyFont="1" applyBorder="1" applyAlignment="1" applyProtection="1">
      <alignment horizontal="center"/>
      <protection hidden="1"/>
    </xf>
    <xf numFmtId="0" fontId="7" fillId="0" borderId="16" xfId="3" applyFont="1" applyBorder="1" applyAlignment="1" applyProtection="1">
      <alignment horizontal="center"/>
      <protection hidden="1"/>
    </xf>
    <xf numFmtId="0" fontId="20" fillId="0" borderId="15" xfId="3" applyFont="1" applyBorder="1" applyAlignment="1" applyProtection="1">
      <alignment horizontal="center" vertical="center"/>
      <protection hidden="1"/>
    </xf>
    <xf numFmtId="0" fontId="20" fillId="0" borderId="16" xfId="3" applyFont="1" applyBorder="1" applyAlignment="1" applyProtection="1">
      <alignment horizontal="center" vertical="center"/>
      <protection hidden="1"/>
    </xf>
    <xf numFmtId="0" fontId="20" fillId="0" borderId="21" xfId="3" applyFont="1" applyBorder="1" applyAlignment="1" applyProtection="1">
      <alignment horizontal="center" vertical="center"/>
      <protection hidden="1"/>
    </xf>
    <xf numFmtId="0" fontId="20" fillId="0" borderId="19" xfId="3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 wrapText="1"/>
      <protection hidden="1"/>
    </xf>
    <xf numFmtId="0" fontId="9" fillId="0" borderId="14" xfId="0" applyFont="1" applyBorder="1" applyAlignment="1" applyProtection="1">
      <alignment horizontal="center" wrapText="1"/>
      <protection hidden="1"/>
    </xf>
    <xf numFmtId="0" fontId="9" fillId="0" borderId="5" xfId="0" applyFont="1" applyBorder="1" applyAlignment="1" applyProtection="1">
      <alignment horizontal="center" wrapText="1"/>
      <protection hidden="1"/>
    </xf>
    <xf numFmtId="0" fontId="6" fillId="0" borderId="0" xfId="3" applyFont="1" applyBorder="1" applyAlignment="1" applyProtection="1">
      <alignment horizontal="center" vertical="center" wrapText="1"/>
      <protection hidden="1"/>
    </xf>
    <xf numFmtId="0" fontId="6" fillId="0" borderId="19" xfId="3" applyFont="1" applyBorder="1" applyAlignment="1" applyProtection="1">
      <alignment horizontal="center" vertical="center" wrapText="1"/>
      <protection hidden="1"/>
    </xf>
  </cellXfs>
  <cellStyles count="6">
    <cellStyle name="Comma" xfId="1" builtinId="3"/>
    <cellStyle name="Normal" xfId="0" builtinId="0"/>
    <cellStyle name="Normal 2" xfId="2"/>
    <cellStyle name="Normal 3" xfId="3"/>
    <cellStyle name="Percent" xfId="4" builtinId="5"/>
    <cellStyle name="Percent 2" xfId="5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418050</xdr:colOff>
      <xdr:row>0</xdr:row>
      <xdr:rowOff>0</xdr:rowOff>
    </xdr:from>
    <xdr:to>
      <xdr:col>4</xdr:col>
      <xdr:colOff>355334</xdr:colOff>
      <xdr:row>10</xdr:row>
      <xdr:rowOff>68066</xdr:rowOff>
    </xdr:to>
    <xdr:pic>
      <xdr:nvPicPr>
        <xdr:cNvPr id="103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2693" y="0"/>
          <a:ext cx="1926519" cy="2044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17124</xdr:colOff>
      <xdr:row>23</xdr:row>
      <xdr:rowOff>161836</xdr:rowOff>
    </xdr:from>
    <xdr:to>
      <xdr:col>5</xdr:col>
      <xdr:colOff>771525</xdr:colOff>
      <xdr:row>25</xdr:row>
      <xdr:rowOff>34373</xdr:rowOff>
    </xdr:to>
    <xdr:sp macro="" textlink="">
      <xdr:nvSpPr>
        <xdr:cNvPr id="8" name="Right Arrow 7"/>
        <xdr:cNvSpPr/>
      </xdr:nvSpPr>
      <xdr:spPr>
        <a:xfrm>
          <a:off x="5539272" y="3407392"/>
          <a:ext cx="754401" cy="230018"/>
        </a:xfrm>
        <a:prstGeom prst="rightArrow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AU"/>
        </a:p>
      </xdr:txBody>
    </xdr:sp>
    <xdr:clientData/>
  </xdr:twoCellAnchor>
  <xdr:twoCellAnchor editAs="oneCell">
    <xdr:from>
      <xdr:col>0</xdr:col>
      <xdr:colOff>297180</xdr:colOff>
      <xdr:row>3</xdr:row>
      <xdr:rowOff>76200</xdr:rowOff>
    </xdr:from>
    <xdr:to>
      <xdr:col>0</xdr:col>
      <xdr:colOff>1798320</xdr:colOff>
      <xdr:row>11</xdr:row>
      <xdr:rowOff>4006</xdr:rowOff>
    </xdr:to>
    <xdr:pic>
      <xdr:nvPicPr>
        <xdr:cNvPr id="208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635916"/>
          <a:ext cx="1501140" cy="14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17124</xdr:colOff>
      <xdr:row>7</xdr:row>
      <xdr:rowOff>163611</xdr:rowOff>
    </xdr:from>
    <xdr:to>
      <xdr:col>5</xdr:col>
      <xdr:colOff>771525</xdr:colOff>
      <xdr:row>9</xdr:row>
      <xdr:rowOff>34205</xdr:rowOff>
    </xdr:to>
    <xdr:sp macro="" textlink="">
      <xdr:nvSpPr>
        <xdr:cNvPr id="5" name="Right Arrow 4"/>
        <xdr:cNvSpPr/>
      </xdr:nvSpPr>
      <xdr:spPr>
        <a:xfrm>
          <a:off x="5539272" y="1424204"/>
          <a:ext cx="754401" cy="228075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AU"/>
        </a:p>
      </xdr:txBody>
    </xdr:sp>
    <xdr:clientData/>
  </xdr:twoCellAnchor>
  <xdr:twoCellAnchor>
    <xdr:from>
      <xdr:col>5</xdr:col>
      <xdr:colOff>17124</xdr:colOff>
      <xdr:row>35</xdr:row>
      <xdr:rowOff>163620</xdr:rowOff>
    </xdr:from>
    <xdr:to>
      <xdr:col>5</xdr:col>
      <xdr:colOff>781049</xdr:colOff>
      <xdr:row>37</xdr:row>
      <xdr:rowOff>34214</xdr:rowOff>
    </xdr:to>
    <xdr:sp macro="" textlink="">
      <xdr:nvSpPr>
        <xdr:cNvPr id="9" name="Right Arrow 8"/>
        <xdr:cNvSpPr/>
      </xdr:nvSpPr>
      <xdr:spPr>
        <a:xfrm>
          <a:off x="5539272" y="5554064"/>
          <a:ext cx="763925" cy="228076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AU"/>
        </a:p>
      </xdr:txBody>
    </xdr:sp>
    <xdr:clientData/>
  </xdr:twoCellAnchor>
  <xdr:twoCellAnchor>
    <xdr:from>
      <xdr:col>5</xdr:col>
      <xdr:colOff>17124</xdr:colOff>
      <xdr:row>47</xdr:row>
      <xdr:rowOff>163620</xdr:rowOff>
    </xdr:from>
    <xdr:to>
      <xdr:col>5</xdr:col>
      <xdr:colOff>781049</xdr:colOff>
      <xdr:row>49</xdr:row>
      <xdr:rowOff>34214</xdr:rowOff>
    </xdr:to>
    <xdr:sp macro="" textlink="">
      <xdr:nvSpPr>
        <xdr:cNvPr id="6" name="Right Arrow 5"/>
        <xdr:cNvSpPr/>
      </xdr:nvSpPr>
      <xdr:spPr>
        <a:xfrm>
          <a:off x="4544439" y="6725287"/>
          <a:ext cx="763925" cy="246890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A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297180</xdr:colOff>
      <xdr:row>0</xdr:row>
      <xdr:rowOff>0</xdr:rowOff>
    </xdr:from>
    <xdr:to>
      <xdr:col>37</xdr:col>
      <xdr:colOff>626972</xdr:colOff>
      <xdr:row>2</xdr:row>
      <xdr:rowOff>152400</xdr:rowOff>
    </xdr:to>
    <xdr:pic>
      <xdr:nvPicPr>
        <xdr:cNvPr id="3086" name="Picture 1" descr="CCSA A4 Letterhead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6160" y="0"/>
          <a:ext cx="245364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655320</xdr:colOff>
      <xdr:row>0</xdr:row>
      <xdr:rowOff>38100</xdr:rowOff>
    </xdr:from>
    <xdr:to>
      <xdr:col>1</xdr:col>
      <xdr:colOff>1905</xdr:colOff>
      <xdr:row>2</xdr:row>
      <xdr:rowOff>137160</xdr:rowOff>
    </xdr:to>
    <xdr:pic>
      <xdr:nvPicPr>
        <xdr:cNvPr id="4111" name="Picture 1" descr="CCSA A4 Letterhead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38100"/>
          <a:ext cx="246126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648014</xdr:colOff>
      <xdr:row>0</xdr:row>
      <xdr:rowOff>62456</xdr:rowOff>
    </xdr:from>
    <xdr:to>
      <xdr:col>0</xdr:col>
      <xdr:colOff>2462553</xdr:colOff>
      <xdr:row>2</xdr:row>
      <xdr:rowOff>135252</xdr:rowOff>
    </xdr:to>
    <xdr:pic>
      <xdr:nvPicPr>
        <xdr:cNvPr id="3" name="Picture 1" descr="CCSA A4 Letterhead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014" y="62456"/>
          <a:ext cx="1881578" cy="43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601980</xdr:colOff>
      <xdr:row>0</xdr:row>
      <xdr:rowOff>0</xdr:rowOff>
    </xdr:from>
    <xdr:to>
      <xdr:col>0</xdr:col>
      <xdr:colOff>3126105</xdr:colOff>
      <xdr:row>1</xdr:row>
      <xdr:rowOff>0</xdr:rowOff>
    </xdr:to>
    <xdr:pic>
      <xdr:nvPicPr>
        <xdr:cNvPr id="2" name="Picture 1" descr="CCSA A4 Letterhead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0"/>
          <a:ext cx="2524125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2"/>
  <sheetViews>
    <sheetView showGridLines="0" tabSelected="1" zoomScale="126" zoomScaleNormal="126" workbookViewId="0">
      <selection activeCell="E13" sqref="E13"/>
    </sheetView>
  </sheetViews>
  <sheetFormatPr defaultColWidth="8.7109375" defaultRowHeight="15" x14ac:dyDescent="0.25"/>
  <cols>
    <col min="1" max="1" width="38" style="3" bestFit="1" customWidth="1"/>
    <col min="2" max="2" width="23" style="3" bestFit="1" customWidth="1"/>
    <col min="3" max="3" width="8.7109375" style="3"/>
    <col min="4" max="5" width="29.85546875" style="3" customWidth="1"/>
    <col min="6" max="6" width="8.7109375" style="3" customWidth="1"/>
    <col min="7" max="10" width="13.5703125" style="3" hidden="1" customWidth="1"/>
    <col min="11" max="11" width="8.7109375" style="3" hidden="1" customWidth="1"/>
    <col min="12" max="13" width="9.85546875" style="263" hidden="1" customWidth="1"/>
    <col min="14" max="14" width="8.7109375" style="3" customWidth="1"/>
    <col min="15" max="16384" width="8.7109375" style="3"/>
  </cols>
  <sheetData>
    <row r="1" spans="1:13" x14ac:dyDescent="0.25">
      <c r="A1" s="4" t="s">
        <v>28</v>
      </c>
      <c r="B1" s="10"/>
    </row>
    <row r="3" spans="1:13" x14ac:dyDescent="0.25">
      <c r="A3" s="4" t="s">
        <v>84</v>
      </c>
      <c r="G3" s="204"/>
      <c r="H3" s="355" t="s">
        <v>1</v>
      </c>
      <c r="I3" s="355"/>
      <c r="J3" s="355"/>
      <c r="L3" s="356" t="s">
        <v>200</v>
      </c>
      <c r="M3" s="356"/>
    </row>
    <row r="4" spans="1:13" x14ac:dyDescent="0.25">
      <c r="A4" s="354"/>
      <c r="B4" s="354"/>
      <c r="G4" s="207" t="s">
        <v>0</v>
      </c>
      <c r="H4" s="207" t="s">
        <v>158</v>
      </c>
      <c r="I4" s="207" t="s">
        <v>159</v>
      </c>
      <c r="J4" s="207" t="s">
        <v>160</v>
      </c>
      <c r="L4" s="269" t="str">
        <f>J4</f>
        <v>FY 2015-16</v>
      </c>
      <c r="M4" s="269" t="str">
        <f>I4</f>
        <v>CY 2016</v>
      </c>
    </row>
    <row r="5" spans="1:13" x14ac:dyDescent="0.25">
      <c r="A5" s="167"/>
      <c r="B5" s="167"/>
      <c r="G5" s="205">
        <v>1</v>
      </c>
      <c r="H5" s="206">
        <v>5270.2142857142799</v>
      </c>
      <c r="I5" s="206">
        <v>5401.969642857136</v>
      </c>
      <c r="J5" s="206">
        <v>5336.0919642857079</v>
      </c>
      <c r="K5" s="3">
        <f>G5</f>
        <v>1</v>
      </c>
      <c r="L5" s="267">
        <f>J5/100</f>
        <v>53.360919642857077</v>
      </c>
      <c r="M5" s="267">
        <f>I5/100</f>
        <v>54.019696428571358</v>
      </c>
    </row>
    <row r="6" spans="1:13" x14ac:dyDescent="0.25">
      <c r="A6" s="192" t="s">
        <v>143</v>
      </c>
      <c r="B6" s="194"/>
      <c r="C6" s="167"/>
      <c r="G6" s="205">
        <v>2</v>
      </c>
      <c r="H6" s="206">
        <v>5270.2142857142799</v>
      </c>
      <c r="I6" s="206">
        <v>5401.969642857136</v>
      </c>
      <c r="J6" s="206">
        <v>5336.0919642857079</v>
      </c>
      <c r="K6" s="262">
        <f t="shared" ref="K6:K22" si="0">G6</f>
        <v>2</v>
      </c>
      <c r="L6" s="267">
        <f t="shared" ref="L6:L22" si="1">J6/100</f>
        <v>53.360919642857077</v>
      </c>
      <c r="M6" s="267">
        <f t="shared" ref="M6:M22" si="2">I6/100</f>
        <v>54.019696428571358</v>
      </c>
    </row>
    <row r="7" spans="1:13" x14ac:dyDescent="0.25">
      <c r="A7" s="226" t="s">
        <v>7</v>
      </c>
      <c r="B7" s="228"/>
      <c r="C7" s="167"/>
      <c r="G7" s="205">
        <v>3</v>
      </c>
      <c r="H7" s="206">
        <v>5096.2314285714201</v>
      </c>
      <c r="I7" s="206">
        <v>5223.6372142857053</v>
      </c>
      <c r="J7" s="206">
        <v>5159.9343214285627</v>
      </c>
      <c r="K7" s="262">
        <f t="shared" si="0"/>
        <v>3</v>
      </c>
      <c r="L7" s="267">
        <f t="shared" si="1"/>
        <v>51.599343214285625</v>
      </c>
      <c r="M7" s="267">
        <f t="shared" si="2"/>
        <v>52.23637214285705</v>
      </c>
    </row>
    <row r="8" spans="1:13" x14ac:dyDescent="0.25">
      <c r="A8" s="226" t="str">
        <f>IF(B7="Major Cities of Australia","","Distance to nearest neighbouring service")</f>
        <v>Distance to nearest neighbouring service</v>
      </c>
      <c r="B8" s="228"/>
      <c r="C8" s="167"/>
      <c r="G8" s="205">
        <v>4</v>
      </c>
      <c r="H8" s="206">
        <v>4980.24285714285</v>
      </c>
      <c r="I8" s="206">
        <v>5104.7489285714209</v>
      </c>
      <c r="J8" s="206">
        <v>5042.4958928571359</v>
      </c>
      <c r="K8" s="262">
        <f t="shared" si="0"/>
        <v>4</v>
      </c>
      <c r="L8" s="267">
        <f t="shared" si="1"/>
        <v>50.424958928571357</v>
      </c>
      <c r="M8" s="267">
        <f t="shared" si="2"/>
        <v>51.047489285714207</v>
      </c>
    </row>
    <row r="9" spans="1:13" x14ac:dyDescent="0.25">
      <c r="A9" s="226"/>
      <c r="B9" s="227"/>
      <c r="C9" s="167"/>
      <c r="F9" s="123"/>
      <c r="G9" s="205">
        <v>5</v>
      </c>
      <c r="H9" s="206">
        <v>4864.2542857142798</v>
      </c>
      <c r="I9" s="206">
        <v>4985.8606428571366</v>
      </c>
      <c r="J9" s="206">
        <v>4925.0574642857082</v>
      </c>
      <c r="K9" s="262">
        <f t="shared" si="0"/>
        <v>5</v>
      </c>
      <c r="L9" s="267">
        <f t="shared" si="1"/>
        <v>49.250574642857082</v>
      </c>
      <c r="M9" s="267">
        <f t="shared" si="2"/>
        <v>49.858606428571363</v>
      </c>
    </row>
    <row r="10" spans="1:13" x14ac:dyDescent="0.25">
      <c r="A10" s="226" t="s">
        <v>8</v>
      </c>
      <c r="B10" s="228"/>
      <c r="C10" s="167"/>
      <c r="G10" s="205">
        <v>6</v>
      </c>
      <c r="H10" s="206">
        <v>4748.2657142857097</v>
      </c>
      <c r="I10" s="206">
        <v>4866.9723571428522</v>
      </c>
      <c r="J10" s="206">
        <v>4807.6190357142805</v>
      </c>
      <c r="K10" s="262">
        <f t="shared" si="0"/>
        <v>6</v>
      </c>
      <c r="L10" s="267">
        <f t="shared" si="1"/>
        <v>48.076190357142806</v>
      </c>
      <c r="M10" s="267">
        <f t="shared" si="2"/>
        <v>48.66972357142852</v>
      </c>
    </row>
    <row r="11" spans="1:13" x14ac:dyDescent="0.25">
      <c r="A11" s="226" t="s">
        <v>9</v>
      </c>
      <c r="B11" s="228"/>
      <c r="C11" s="167"/>
      <c r="G11" s="205">
        <v>7</v>
      </c>
      <c r="H11" s="206">
        <v>4632.2771428571396</v>
      </c>
      <c r="I11" s="206">
        <v>4748.0840714285678</v>
      </c>
      <c r="J11" s="206">
        <v>4690.1806071428537</v>
      </c>
      <c r="K11" s="262">
        <f t="shared" si="0"/>
        <v>7</v>
      </c>
      <c r="L11" s="267">
        <f t="shared" si="1"/>
        <v>46.901806071428538</v>
      </c>
      <c r="M11" s="267">
        <f t="shared" si="2"/>
        <v>47.480840714285677</v>
      </c>
    </row>
    <row r="12" spans="1:13" x14ac:dyDescent="0.25">
      <c r="A12" s="226" t="s">
        <v>10</v>
      </c>
      <c r="B12" s="228"/>
      <c r="C12" s="167"/>
      <c r="D12" s="201" t="s">
        <v>157</v>
      </c>
      <c r="E12" s="202" t="s">
        <v>150</v>
      </c>
      <c r="G12" s="205">
        <v>8</v>
      </c>
      <c r="H12" s="206">
        <v>4516.2880025183149</v>
      </c>
      <c r="I12" s="206">
        <v>4629.1952025812725</v>
      </c>
      <c r="J12" s="206">
        <v>4572.7416025497932</v>
      </c>
      <c r="K12" s="262">
        <f t="shared" si="0"/>
        <v>8</v>
      </c>
      <c r="L12" s="267">
        <f t="shared" si="1"/>
        <v>45.727416025497931</v>
      </c>
      <c r="M12" s="267">
        <f t="shared" si="2"/>
        <v>46.291952025812726</v>
      </c>
    </row>
    <row r="13" spans="1:13" x14ac:dyDescent="0.25">
      <c r="A13" s="226" t="s">
        <v>11</v>
      </c>
      <c r="B13" s="228"/>
      <c r="C13" s="167"/>
      <c r="D13" s="196" t="s">
        <v>151</v>
      </c>
      <c r="E13" s="198" t="e">
        <f>ROUND(VLOOKUP(B6,G4:I22,3,FALSE),0)</f>
        <v>#N/A</v>
      </c>
      <c r="G13" s="205">
        <v>9</v>
      </c>
      <c r="H13" s="206">
        <v>3915.5</v>
      </c>
      <c r="I13" s="206">
        <v>4013.3874999999998</v>
      </c>
      <c r="J13" s="206">
        <v>3964.4437499999999</v>
      </c>
      <c r="K13" s="262">
        <f t="shared" si="0"/>
        <v>9</v>
      </c>
      <c r="L13" s="267">
        <f t="shared" si="1"/>
        <v>39.644437500000002</v>
      </c>
      <c r="M13" s="267">
        <f t="shared" si="2"/>
        <v>40.133874999999996</v>
      </c>
    </row>
    <row r="14" spans="1:13" x14ac:dyDescent="0.25">
      <c r="A14" s="226" t="s">
        <v>13</v>
      </c>
      <c r="B14" s="227" t="e">
        <f>B13/B11</f>
        <v>#DIV/0!</v>
      </c>
      <c r="C14" s="167"/>
      <c r="D14" s="196"/>
      <c r="E14" s="199"/>
      <c r="G14" s="205">
        <v>10</v>
      </c>
      <c r="H14" s="206">
        <v>3476.3119310897437</v>
      </c>
      <c r="I14" s="206">
        <v>3563.2197293669869</v>
      </c>
      <c r="J14" s="206">
        <v>3519.7658302283653</v>
      </c>
      <c r="K14" s="262">
        <f t="shared" si="0"/>
        <v>10</v>
      </c>
      <c r="L14" s="267">
        <f t="shared" si="1"/>
        <v>35.197658302283656</v>
      </c>
      <c r="M14" s="267">
        <f t="shared" si="2"/>
        <v>35.632197293669869</v>
      </c>
    </row>
    <row r="15" spans="1:13" x14ac:dyDescent="0.25">
      <c r="A15" s="226" t="s">
        <v>12</v>
      </c>
      <c r="B15" s="227">
        <f>B11/2.5*B10</f>
        <v>0</v>
      </c>
      <c r="C15" s="167"/>
      <c r="D15" s="196" t="s">
        <v>152</v>
      </c>
      <c r="E15" s="198" t="e">
        <f>5402-E13</f>
        <v>#N/A</v>
      </c>
      <c r="G15" s="205">
        <v>11</v>
      </c>
      <c r="H15" s="206">
        <v>3408.2156756756754</v>
      </c>
      <c r="I15" s="206">
        <v>3493.4210675675668</v>
      </c>
      <c r="J15" s="206">
        <v>3450.8183716216208</v>
      </c>
      <c r="K15" s="262">
        <f t="shared" si="0"/>
        <v>11</v>
      </c>
      <c r="L15" s="267">
        <f t="shared" si="1"/>
        <v>34.508183716216209</v>
      </c>
      <c r="M15" s="267">
        <f t="shared" si="2"/>
        <v>34.934210675675665</v>
      </c>
    </row>
    <row r="16" spans="1:13" x14ac:dyDescent="0.25">
      <c r="A16" s="226"/>
      <c r="B16" s="227"/>
      <c r="C16" s="167"/>
      <c r="D16" s="203" t="s">
        <v>153</v>
      </c>
      <c r="E16" s="198"/>
      <c r="G16" s="205">
        <v>12</v>
      </c>
      <c r="H16" s="206">
        <v>3216.4228571428498</v>
      </c>
      <c r="I16" s="206">
        <v>3296.8334285714209</v>
      </c>
      <c r="J16" s="206">
        <v>3256.6281428571356</v>
      </c>
      <c r="K16" s="262">
        <f t="shared" si="0"/>
        <v>12</v>
      </c>
      <c r="L16" s="267">
        <f t="shared" si="1"/>
        <v>32.566281428571358</v>
      </c>
      <c r="M16" s="267">
        <f t="shared" si="2"/>
        <v>32.968334285714207</v>
      </c>
    </row>
    <row r="17" spans="1:13" x14ac:dyDescent="0.25">
      <c r="A17" s="193" t="s">
        <v>40</v>
      </c>
      <c r="B17" s="195"/>
      <c r="C17" s="167"/>
      <c r="D17" s="196" t="s">
        <v>154</v>
      </c>
      <c r="E17" s="198">
        <v>5402</v>
      </c>
      <c r="G17" s="205">
        <v>13</v>
      </c>
      <c r="H17" s="206">
        <v>2853.8542857142802</v>
      </c>
      <c r="I17" s="206">
        <v>2925.2006428571372</v>
      </c>
      <c r="J17" s="206">
        <v>2889.5274642857084</v>
      </c>
      <c r="K17" s="262">
        <f t="shared" si="0"/>
        <v>13</v>
      </c>
      <c r="L17" s="267">
        <f t="shared" si="1"/>
        <v>28.895274642857085</v>
      </c>
      <c r="M17" s="267">
        <f t="shared" si="2"/>
        <v>29.25200642857137</v>
      </c>
    </row>
    <row r="18" spans="1:13" x14ac:dyDescent="0.25">
      <c r="A18" s="226" t="s">
        <v>142</v>
      </c>
      <c r="B18" s="227"/>
      <c r="C18" s="167"/>
      <c r="D18" s="196"/>
      <c r="E18" s="199"/>
      <c r="G18" s="205">
        <v>14</v>
      </c>
      <c r="H18" s="206">
        <v>2548.2114285714201</v>
      </c>
      <c r="I18" s="206">
        <v>2611.9167142857054</v>
      </c>
      <c r="J18" s="206">
        <v>2580.0640714285628</v>
      </c>
      <c r="K18" s="262">
        <f t="shared" si="0"/>
        <v>14</v>
      </c>
      <c r="L18" s="267">
        <f t="shared" si="1"/>
        <v>25.800640714285628</v>
      </c>
      <c r="M18" s="267">
        <f t="shared" si="2"/>
        <v>26.119167142857055</v>
      </c>
    </row>
    <row r="19" spans="1:13" x14ac:dyDescent="0.25">
      <c r="A19" s="226"/>
      <c r="B19" s="199"/>
      <c r="C19" s="167"/>
      <c r="D19" s="196" t="s">
        <v>155</v>
      </c>
      <c r="E19" s="191">
        <f>IF(OR(B7="Remote Australia",B7="Very Remote Australia"),1250*1.025,IF(B7="Outer Regional Australia",850*1.025,0))</f>
        <v>0</v>
      </c>
      <c r="G19" s="205">
        <v>15</v>
      </c>
      <c r="H19" s="206">
        <v>2301.0494358974361</v>
      </c>
      <c r="I19" s="206">
        <v>2358.5756717948716</v>
      </c>
      <c r="J19" s="206">
        <v>2329.8125538461536</v>
      </c>
      <c r="K19" s="262">
        <f t="shared" si="0"/>
        <v>15</v>
      </c>
      <c r="L19" s="267">
        <f t="shared" si="1"/>
        <v>23.298125538461537</v>
      </c>
      <c r="M19" s="267">
        <f t="shared" si="2"/>
        <v>23.585756717948716</v>
      </c>
    </row>
    <row r="20" spans="1:13" x14ac:dyDescent="0.25">
      <c r="A20" s="226" t="s">
        <v>149</v>
      </c>
      <c r="B20" s="195"/>
      <c r="D20" s="196"/>
      <c r="E20" s="199"/>
      <c r="G20" s="205">
        <v>16</v>
      </c>
      <c r="H20" s="206">
        <v>2034.3942857142799</v>
      </c>
      <c r="I20" s="206">
        <v>2085.2541428571367</v>
      </c>
      <c r="J20" s="206">
        <v>2059.8242142857084</v>
      </c>
      <c r="K20" s="262">
        <f t="shared" si="0"/>
        <v>16</v>
      </c>
      <c r="L20" s="267">
        <f t="shared" si="1"/>
        <v>20.598242142857085</v>
      </c>
      <c r="M20" s="267">
        <f t="shared" si="2"/>
        <v>20.852541428571367</v>
      </c>
    </row>
    <row r="21" spans="1:13" x14ac:dyDescent="0.25">
      <c r="A21" s="226" t="s">
        <v>120</v>
      </c>
      <c r="B21" s="199"/>
      <c r="D21" s="196" t="s">
        <v>156</v>
      </c>
      <c r="E21" s="198">
        <v>410</v>
      </c>
      <c r="G21" s="205">
        <v>17</v>
      </c>
      <c r="H21" s="206">
        <v>1805</v>
      </c>
      <c r="I21" s="206">
        <v>1850.1249999999998</v>
      </c>
      <c r="J21" s="206">
        <v>1827.5625</v>
      </c>
      <c r="K21" s="262">
        <f t="shared" si="0"/>
        <v>17</v>
      </c>
      <c r="L21" s="267">
        <f t="shared" si="1"/>
        <v>18.275625000000002</v>
      </c>
      <c r="M21" s="267">
        <f t="shared" si="2"/>
        <v>18.501249999999999</v>
      </c>
    </row>
    <row r="22" spans="1:13" x14ac:dyDescent="0.25">
      <c r="A22" s="197"/>
      <c r="B22" s="200"/>
      <c r="D22" s="197"/>
      <c r="E22" s="200"/>
      <c r="G22" s="205">
        <v>18</v>
      </c>
      <c r="H22" s="206">
        <v>1805</v>
      </c>
      <c r="I22" s="206">
        <v>1850.1249999999998</v>
      </c>
      <c r="J22" s="206">
        <v>1827.5625</v>
      </c>
      <c r="K22" s="262">
        <f t="shared" si="0"/>
        <v>18</v>
      </c>
      <c r="L22" s="267">
        <f t="shared" si="1"/>
        <v>18.275625000000002</v>
      </c>
      <c r="M22" s="267">
        <f t="shared" si="2"/>
        <v>18.501249999999999</v>
      </c>
    </row>
  </sheetData>
  <sheetProtection algorithmName="SHA-512" hashValue="+Z+G7L1j8Xq3WiDrCJHENDCtEfzSExf85xX+rIre8oe7MXXyfodbqq1vxOO8FSLr7JyN8W447Bnk6hyq1Ydccg==" saltValue="yKjC+7LyB5rj00blhELZEw==" spinCount="100000" sheet="1" objects="1" scenarios="1"/>
  <mergeCells count="3">
    <mergeCell ref="A4:B4"/>
    <mergeCell ref="H3:J3"/>
    <mergeCell ref="L3:M3"/>
  </mergeCells>
  <conditionalFormatting sqref="B8">
    <cfRule type="expression" dxfId="6" priority="1">
      <formula>IF($B$7="Major Cities of Australia","True","False")</formula>
    </cfRule>
  </conditionalFormatting>
  <dataValidations count="3">
    <dataValidation type="list" allowBlank="1" showInputMessage="1" showErrorMessage="1" sqref="B7">
      <formula1>"Major Cities of Australia,Inner Regional Australia,Outer Regional Australia,Remote Australia,Very Remote Australia"</formula1>
    </dataValidation>
    <dataValidation type="whole" allowBlank="1" showInputMessage="1" showErrorMessage="1" sqref="B6">
      <formula1>1</formula1>
      <formula2>18</formula2>
    </dataValidation>
    <dataValidation type="list" allowBlank="1" showInputMessage="1" showErrorMessage="1" sqref="B8">
      <formula1>"10km or more,Less than 10km"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5"/>
  <sheetViews>
    <sheetView showGridLines="0" zoomScale="81" zoomScaleNormal="81" workbookViewId="0">
      <selection activeCell="D6" sqref="D6"/>
    </sheetView>
  </sheetViews>
  <sheetFormatPr defaultColWidth="8.7109375" defaultRowHeight="15" x14ac:dyDescent="0.25"/>
  <cols>
    <col min="1" max="1" width="32.5703125" style="3" bestFit="1" customWidth="1"/>
    <col min="2" max="2" width="10.42578125" style="3" bestFit="1" customWidth="1"/>
    <col min="3" max="3" width="12.28515625" style="3" customWidth="1"/>
    <col min="4" max="4" width="12.5703125" style="3" customWidth="1"/>
    <col min="5" max="5" width="12.5703125" style="3" hidden="1" customWidth="1"/>
    <col min="6" max="6" width="12" style="3" customWidth="1"/>
    <col min="7" max="7" width="41.42578125" style="3" bestFit="1" customWidth="1"/>
    <col min="8" max="8" width="14.28515625" style="3" customWidth="1"/>
    <col min="9" max="9" width="5.42578125" style="3" customWidth="1"/>
    <col min="10" max="10" width="19.7109375" style="3" customWidth="1"/>
    <col min="11" max="11" width="14.28515625" style="3" customWidth="1"/>
    <col min="12" max="14" width="8.7109375" style="3"/>
    <col min="15" max="16" width="11.28515625" style="3" hidden="1" customWidth="1"/>
    <col min="17" max="16384" width="8.7109375" style="3"/>
  </cols>
  <sheetData>
    <row r="1" spans="1:16" x14ac:dyDescent="0.25">
      <c r="A1" s="359" t="s">
        <v>107</v>
      </c>
      <c r="B1" s="359"/>
      <c r="C1" s="359"/>
      <c r="D1" s="359"/>
      <c r="E1" s="359"/>
      <c r="F1" s="359"/>
      <c r="G1" s="359"/>
      <c r="H1" s="359"/>
    </row>
    <row r="2" spans="1:16" x14ac:dyDescent="0.25">
      <c r="A2" s="359"/>
      <c r="B2" s="359"/>
      <c r="C2" s="359"/>
      <c r="D2" s="359"/>
      <c r="E2" s="359"/>
      <c r="F2" s="359"/>
      <c r="G2" s="359"/>
      <c r="H2" s="359"/>
      <c r="J2" s="4" t="s">
        <v>124</v>
      </c>
    </row>
    <row r="4" spans="1:16" ht="15" customHeight="1" x14ac:dyDescent="0.25">
      <c r="B4" s="368" t="s">
        <v>123</v>
      </c>
      <c r="C4" s="368"/>
      <c r="D4" s="368"/>
      <c r="E4" s="162"/>
      <c r="G4" s="31" t="s">
        <v>111</v>
      </c>
      <c r="H4" s="32"/>
      <c r="J4" s="169" t="s">
        <v>121</v>
      </c>
      <c r="K4" s="170"/>
      <c r="O4" s="257" t="s">
        <v>163</v>
      </c>
      <c r="P4" s="257" t="s">
        <v>164</v>
      </c>
    </row>
    <row r="5" spans="1:16" x14ac:dyDescent="0.25">
      <c r="B5" s="369"/>
      <c r="C5" s="370"/>
      <c r="D5" s="48"/>
      <c r="E5" s="180"/>
      <c r="G5" s="33" t="s">
        <v>4</v>
      </c>
      <c r="H5" s="211" t="e">
        <f>O5+P5</f>
        <v>#DIV/0!</v>
      </c>
      <c r="J5" s="171">
        <v>42186</v>
      </c>
      <c r="K5" s="233">
        <f>'Service Information'!B20/4</f>
        <v>0</v>
      </c>
      <c r="L5" s="235" t="s">
        <v>158</v>
      </c>
      <c r="O5" s="239" t="e">
        <f>(IF(D10&gt;'Service Information'!$B$15,'Service Information'!$B$15/D10,1)*SUM(D6:D8))*IF('Service Information'!$B$12&lt;40,'Service Information'!$B$12,40)/40*IF('Service Information'!$B$14&lt;6,'Service Information'!$B$14,6)/6*VLOOKUP('Service Information'!$B$6,'Service Information'!$G$5:$H$22,2,FALSE)/2*0+P5</f>
        <v>#DIV/0!</v>
      </c>
      <c r="P5" s="239" t="e">
        <f>(IF(D10&gt;'Service Information'!$B$15,'Service Information'!$B$15/D10,1)*SUM(D6:D8))*IF('Service Information'!$B$12&lt;40,'Service Information'!$B$12,40)/40*IF('Service Information'!$B$14&lt;6,'Service Information'!$B$14,6)/6*VLOOKUP('Service Information'!$B$6,'Service Information'!$G$5:$I$22,3,FALSE)/2</f>
        <v>#DIV/0!</v>
      </c>
    </row>
    <row r="6" spans="1:16" ht="14.45" customHeight="1" x14ac:dyDescent="0.25">
      <c r="B6" s="209" t="s">
        <v>19</v>
      </c>
      <c r="C6" s="208"/>
      <c r="D6" s="228"/>
      <c r="E6" s="182"/>
      <c r="G6" s="34" t="s">
        <v>5</v>
      </c>
      <c r="H6" s="212" t="e">
        <f>O6+P6</f>
        <v>#N/A</v>
      </c>
      <c r="J6" s="171">
        <v>42278</v>
      </c>
      <c r="K6" s="233">
        <f>K5</f>
        <v>0</v>
      </c>
      <c r="L6" s="235" t="s">
        <v>158</v>
      </c>
      <c r="O6" s="239" t="e">
        <f>(SUM(D6,D8)*('Service Information'!$H$5-VLOOKUP('Service Information'!$B$6,'Service Information'!$G$5:$H$22,2,FALSE))*IF('Service Information'!$B$12&lt;40,'Service Information'!$B$12,40)/40*IF('Service Information'!$B$14&lt;6,'Service Information'!$B$14,6)/6)/2*0+P6</f>
        <v>#N/A</v>
      </c>
      <c r="P6" s="239" t="e">
        <f>(SUM(D6,D8)*('Service Information'!$I$5-VLOOKUP('Service Information'!$B$6,'Service Information'!$G$5:$I$22,3,FALSE))*IF('Service Information'!$B$12&lt;40,'Service Information'!$B$12,40)/40*IF('Service Information'!$B$14&lt;6,'Service Information'!$B$14,6)/6)/2</f>
        <v>#N/A</v>
      </c>
    </row>
    <row r="7" spans="1:16" ht="14.45" customHeight="1" x14ac:dyDescent="0.25">
      <c r="B7" s="209" t="s">
        <v>20</v>
      </c>
      <c r="C7" s="208"/>
      <c r="D7" s="228"/>
      <c r="E7" s="182"/>
      <c r="F7" s="8"/>
      <c r="G7" s="34" t="s">
        <v>6</v>
      </c>
      <c r="H7" s="212" t="e">
        <f>O7+P7</f>
        <v>#DIV/0!</v>
      </c>
      <c r="J7" s="171">
        <v>42339</v>
      </c>
      <c r="K7" s="230" t="e">
        <f>(H10-(K5+K6))/2</f>
        <v>#DIV/0!</v>
      </c>
      <c r="L7" s="232" t="s">
        <v>159</v>
      </c>
      <c r="O7" s="239" t="e">
        <f>(D12*410*IF('Service Information'!$B$12&lt;40,'Service Information'!$B$12,40)/40*IF('Service Information'!$B$14&lt;6,'Service Information'!$B$14,6)/6)/2</f>
        <v>#DIV/0!</v>
      </c>
      <c r="P7" s="239" t="e">
        <f>(D12*410*IF('Service Information'!$B$12&lt;40,'Service Information'!$B$12,40)/40*IF('Service Information'!$B$14&lt;6,'Service Information'!$B$14,6)/6)/2</f>
        <v>#DIV/0!</v>
      </c>
    </row>
    <row r="8" spans="1:16" x14ac:dyDescent="0.25">
      <c r="B8" s="209" t="s">
        <v>18</v>
      </c>
      <c r="C8" s="208"/>
      <c r="D8" s="228"/>
      <c r="E8" s="182"/>
      <c r="F8"/>
      <c r="G8" s="34" t="s">
        <v>201</v>
      </c>
      <c r="H8" s="212" t="e">
        <f>O8+P8</f>
        <v>#DIV/0!</v>
      </c>
      <c r="J8" s="171">
        <v>42461</v>
      </c>
      <c r="K8" s="231" t="e">
        <f>K7</f>
        <v>#DIV/0!</v>
      </c>
      <c r="L8" s="232" t="s">
        <v>159</v>
      </c>
      <c r="O8" s="239" t="e">
        <f>(IF(D10&gt;'Service Information'!$B$15,'Service Information'!$B$15/D10,1)*SUM(D6:D8))*IF('Service Information'!$B$12&lt;40,'Service Information'!$B$12,40)/40*IF('Service Information'!$B$14&lt;6,'Service Information'!$B$14,6)/6*IF(OR('Service Information'!$B$7="Remote Australia",'Service Information'!$B$7="Very Remote Australia"),1250*1.025,IF('Service Information'!$B$7="Outer Regional Australia",850*1.025,0))/2</f>
        <v>#DIV/0!</v>
      </c>
      <c r="P8" s="239" t="e">
        <f>(IF(D10&gt;'Service Information'!$B$15,'Service Information'!$B$15/D10,1)*SUM(D6:D8))*IF('Service Information'!$B$12&lt;40,'Service Information'!$B$12,40)/40*IF('Service Information'!$B$14&lt;6,'Service Information'!$B$14,6)/6*IF(OR('Service Information'!$B$7="Remote Australia",'Service Information'!$B$7="Very Remote Australia"),1250*1.025,IF('Service Information'!$B$7="Outer Regional Australia",850*1.025,0))/2</f>
        <v>#DIV/0!</v>
      </c>
    </row>
    <row r="9" spans="1:16" x14ac:dyDescent="0.25">
      <c r="B9" s="209" t="s">
        <v>21</v>
      </c>
      <c r="C9" s="208"/>
      <c r="D9" s="289"/>
      <c r="E9" s="182"/>
      <c r="F9"/>
      <c r="G9" s="264" t="str">
        <f>IF('Service Information'!B7="Major Cities of Australia","Transition Funding","Transition Funding / PSC")</f>
        <v>Transition Funding / PSC</v>
      </c>
      <c r="H9" s="212" t="e">
        <f>O9+MIN(P9,35000)</f>
        <v>#DIV/0!</v>
      </c>
      <c r="J9" s="23"/>
      <c r="K9" s="222" t="e">
        <f>SUM(K5:K8)</f>
        <v>#DIV/0!</v>
      </c>
      <c r="L9" s="229"/>
      <c r="O9" s="237" t="e">
        <f>IF('Service Information'!$B$17/2&gt;SUM(O5:O8),('Service Information'!$B$17/2-SUM(O5:O8)),0)</f>
        <v>#DIV/0!</v>
      </c>
      <c r="P9" s="237" t="e">
        <f>IF('Service Information'!$B$17/2&gt;SUM(P5:P8),('Service Information'!$B$17/2-SUM(P5:P8))/IF('Service Information'!B7="Major Cities of Australia",2,IF('Service Information'!B8="10km or more",1,1.25)),0)</f>
        <v>#DIV/0!</v>
      </c>
    </row>
    <row r="10" spans="1:16" x14ac:dyDescent="0.25">
      <c r="B10" s="357" t="s">
        <v>2</v>
      </c>
      <c r="C10" s="358"/>
      <c r="D10" s="28">
        <f>SUM(D6:D9)</f>
        <v>0</v>
      </c>
      <c r="E10" s="182"/>
      <c r="F10"/>
      <c r="G10" s="35" t="s">
        <v>112</v>
      </c>
      <c r="H10" s="213" t="e">
        <f>SUM(H5:H9)</f>
        <v>#DIV/0!</v>
      </c>
      <c r="J10" s="169" t="s">
        <v>122</v>
      </c>
      <c r="K10" s="221"/>
      <c r="L10" s="229"/>
      <c r="O10" s="238" t="e">
        <f>SUM(O5:O9)</f>
        <v>#DIV/0!</v>
      </c>
      <c r="P10" s="238" t="e">
        <f>SUM(P5:P9)</f>
        <v>#DIV/0!</v>
      </c>
    </row>
    <row r="11" spans="1:16" x14ac:dyDescent="0.25">
      <c r="B11" s="357"/>
      <c r="C11" s="358"/>
      <c r="D11" s="28"/>
      <c r="E11" s="182"/>
      <c r="F11"/>
      <c r="G11" s="33" t="s">
        <v>31</v>
      </c>
      <c r="H11" s="219" t="e">
        <f>IF('Service Information'!B15&gt;D10,0,1-'Service Information'!B15/D10)</f>
        <v>#DIV/0!</v>
      </c>
      <c r="J11" s="171">
        <v>42339</v>
      </c>
      <c r="K11" s="223">
        <f>H13/2</f>
        <v>0</v>
      </c>
      <c r="L11" s="253"/>
    </row>
    <row r="12" spans="1:16" ht="15.75" x14ac:dyDescent="0.25">
      <c r="B12" s="371" t="s">
        <v>3</v>
      </c>
      <c r="C12" s="372"/>
      <c r="D12" s="289"/>
      <c r="E12" s="182"/>
      <c r="F12" s="9"/>
      <c r="G12" s="36" t="s">
        <v>32</v>
      </c>
      <c r="H12" s="214" t="e">
        <f>1-IF('Service Information'!B12&lt;40,'Service Information'!B12,40)/40*IF('Service Information'!B14&lt;6,'Service Information'!B14,6)/6</f>
        <v>#DIV/0!</v>
      </c>
      <c r="J12" s="171">
        <v>42552</v>
      </c>
      <c r="K12" s="224">
        <f>H13/2</f>
        <v>0</v>
      </c>
      <c r="L12" s="229"/>
    </row>
    <row r="13" spans="1:16" x14ac:dyDescent="0.25">
      <c r="G13" s="37" t="s">
        <v>37</v>
      </c>
      <c r="H13" s="213">
        <f>IF(OR('Service Information'!$B$7="Major Cities of Australia",'Service Information'!B7="Inner Regional Australia"),60,75)*SUM(D6:D8)</f>
        <v>0</v>
      </c>
      <c r="J13" s="23"/>
      <c r="K13" s="225">
        <f>SUM(K11:K12)</f>
        <v>0</v>
      </c>
      <c r="L13" s="229"/>
    </row>
    <row r="14" spans="1:16" s="262" customFormat="1" x14ac:dyDescent="0.25">
      <c r="G14" s="323"/>
      <c r="H14" s="324"/>
      <c r="J14" s="252"/>
      <c r="K14" s="236"/>
      <c r="L14" s="253"/>
    </row>
    <row r="15" spans="1:16" s="262" customFormat="1" x14ac:dyDescent="0.25">
      <c r="G15" s="31" t="s">
        <v>214</v>
      </c>
      <c r="H15" s="32"/>
      <c r="J15" s="169" t="s">
        <v>121</v>
      </c>
      <c r="K15" s="221"/>
    </row>
    <row r="16" spans="1:16" s="262" customFormat="1" x14ac:dyDescent="0.25">
      <c r="G16" s="326" t="s">
        <v>227</v>
      </c>
      <c r="H16" s="32"/>
      <c r="J16" s="171">
        <v>42552</v>
      </c>
      <c r="K16" s="230" t="e">
        <f>H10/4</f>
        <v>#DIV/0!</v>
      </c>
      <c r="L16" s="232" t="s">
        <v>159</v>
      </c>
    </row>
    <row r="17" spans="1:12" s="262" customFormat="1" x14ac:dyDescent="0.25">
      <c r="G17" s="37" t="s">
        <v>230</v>
      </c>
      <c r="H17" s="325" t="e">
        <f>H10/2</f>
        <v>#DIV/0!</v>
      </c>
      <c r="J17" s="171">
        <v>42644</v>
      </c>
      <c r="K17" s="231" t="e">
        <f>K16</f>
        <v>#DIV/0!</v>
      </c>
      <c r="L17" s="232" t="s">
        <v>159</v>
      </c>
    </row>
    <row r="18" spans="1:12" s="262" customFormat="1" x14ac:dyDescent="0.25">
      <c r="G18" s="323"/>
      <c r="H18" s="324"/>
      <c r="J18" s="197"/>
      <c r="K18" s="222" t="e">
        <f>SUM(K16:K17)</f>
        <v>#DIV/0!</v>
      </c>
      <c r="L18" s="253"/>
    </row>
    <row r="19" spans="1:12" s="262" customFormat="1" x14ac:dyDescent="0.25">
      <c r="G19" s="323"/>
      <c r="H19" s="324"/>
      <c r="I19"/>
      <c r="J19" s="3"/>
      <c r="K19" s="220"/>
      <c r="L19" s="229"/>
    </row>
    <row r="20" spans="1:12" s="262" customFormat="1" x14ac:dyDescent="0.25">
      <c r="A20" s="49" t="s">
        <v>29</v>
      </c>
      <c r="B20" s="49"/>
      <c r="C20" s="49"/>
      <c r="D20" s="49"/>
      <c r="E20" s="49"/>
      <c r="F20" s="8"/>
      <c r="G20" s="38" t="s">
        <v>219</v>
      </c>
      <c r="H20" s="215"/>
      <c r="I20" s="3"/>
      <c r="J20" s="169" t="s">
        <v>121</v>
      </c>
      <c r="K20" s="221"/>
      <c r="L20" s="232"/>
    </row>
    <row r="21" spans="1:12" s="262" customFormat="1" x14ac:dyDescent="0.25">
      <c r="A21" s="19"/>
      <c r="B21" s="362" t="s">
        <v>22</v>
      </c>
      <c r="C21" s="362" t="s">
        <v>24</v>
      </c>
      <c r="D21" s="364" t="s">
        <v>25</v>
      </c>
      <c r="E21" s="166"/>
      <c r="F21"/>
      <c r="G21" s="39" t="s">
        <v>4</v>
      </c>
      <c r="H21" s="244" t="e">
        <f>(IF(B28&gt;'Service Information'!$B$15,'Service Information'!$B$15/B28,1)*SUM(B24:B26))*IF('Service Information'!$B$12&lt;40,'Service Information'!$B$12,40)/40*IF('Service Information'!$B$14&lt;6,'Service Information'!$B$14,6)/6*VLOOKUP('Service Information'!$B$6,'Service Information'!$G$5:$I$22,3,FALSE)</f>
        <v>#DIV/0!</v>
      </c>
      <c r="I21" s="3"/>
      <c r="J21" s="171">
        <v>42705</v>
      </c>
      <c r="K21" s="233" t="e">
        <f>H26/4</f>
        <v>#DIV/0!</v>
      </c>
      <c r="L21" s="235" t="s">
        <v>161</v>
      </c>
    </row>
    <row r="22" spans="1:12" s="262" customFormat="1" x14ac:dyDescent="0.25">
      <c r="A22" s="20"/>
      <c r="B22" s="363"/>
      <c r="C22" s="363"/>
      <c r="D22" s="365"/>
      <c r="E22" s="166"/>
      <c r="F22"/>
      <c r="G22" s="40" t="s">
        <v>5</v>
      </c>
      <c r="H22" s="245" t="e">
        <f>SUM(B24,B26)*('Service Information'!$I$5-VLOOKUP('Service Information'!$B$6,'Service Information'!$G$5:$I$22,3,FALSE))*IF('Service Information'!$B$12&lt;40,'Service Information'!$B$12,40)/40*IF('Service Information'!$B$14&lt;6,'Service Information'!$B$14,6)/6</f>
        <v>#N/A</v>
      </c>
      <c r="I22" s="3"/>
      <c r="J22" s="171">
        <v>42826</v>
      </c>
      <c r="K22" s="233" t="e">
        <f>K21</f>
        <v>#DIV/0!</v>
      </c>
      <c r="L22" s="235" t="s">
        <v>161</v>
      </c>
    </row>
    <row r="23" spans="1:12" s="262" customFormat="1" x14ac:dyDescent="0.25">
      <c r="A23" s="21"/>
      <c r="B23" s="363"/>
      <c r="C23" s="363"/>
      <c r="D23" s="365"/>
      <c r="E23" s="166"/>
      <c r="F23"/>
      <c r="G23" s="40" t="s">
        <v>6</v>
      </c>
      <c r="H23" s="245" t="e">
        <f>B30*410*IF('Service Information'!$B$12&lt;40,'Service Information'!$B$12,40)/40*IF('Service Information'!$B$14&lt;6,'Service Information'!$B$14,6)/6</f>
        <v>#DIV/0!</v>
      </c>
      <c r="I23" s="3"/>
      <c r="J23" s="171">
        <v>42917</v>
      </c>
      <c r="K23" s="233" t="e">
        <f>K22</f>
        <v>#DIV/0!</v>
      </c>
      <c r="L23" s="235" t="s">
        <v>161</v>
      </c>
    </row>
    <row r="24" spans="1:12" s="262" customFormat="1" x14ac:dyDescent="0.25">
      <c r="A24" s="14" t="s">
        <v>19</v>
      </c>
      <c r="B24" s="135"/>
      <c r="C24" s="135"/>
      <c r="D24" s="24">
        <f>B24*C24</f>
        <v>0</v>
      </c>
      <c r="E24" s="11">
        <f>D24</f>
        <v>0</v>
      </c>
      <c r="F24"/>
      <c r="G24" s="40" t="s">
        <v>201</v>
      </c>
      <c r="H24" s="245" t="e">
        <f>(IF(B28&gt;'Service Information'!$B$15,'Service Information'!$B$15/B28,1)*SUM(B24:B26))*IF('Service Information'!$B$12&lt;40,'Service Information'!$B$12,40)/40*IF('Service Information'!$B$14&lt;6,'Service Information'!$B$14,6)/6*IF(OR('Service Information'!$B$7="Remote Australia",'Service Information'!$B$7="Very Remote Australia"),1250*1.025,IF('Service Information'!$B$7="Outer Regional Australia",850*1.025,0))</f>
        <v>#DIV/0!</v>
      </c>
      <c r="I24" s="3"/>
      <c r="J24" s="171">
        <v>43009</v>
      </c>
      <c r="K24" s="234" t="e">
        <f>K23</f>
        <v>#DIV/0!</v>
      </c>
      <c r="L24" s="235" t="s">
        <v>161</v>
      </c>
    </row>
    <row r="25" spans="1:12" x14ac:dyDescent="0.25">
      <c r="A25" s="14" t="s">
        <v>20</v>
      </c>
      <c r="B25" s="135"/>
      <c r="C25" s="135"/>
      <c r="D25" s="24">
        <f>B25*C25</f>
        <v>0</v>
      </c>
      <c r="E25" s="11">
        <f t="shared" ref="E25:E26" si="0">D25</f>
        <v>0</v>
      </c>
      <c r="F25"/>
      <c r="G25" s="265" t="str">
        <f>IF('Service Information'!B7="Major Cities of Australia","","Preschools for Sustainable Communities")</f>
        <v>Preschools for Sustainable Communities</v>
      </c>
      <c r="H25" s="245" t="e">
        <f>MIN(70000,IF(OR(SUM(H21:H24)&gt;'Service Information'!$B$17,'Service Information'!$B$7="Major Cities of Australia"),0,IF('Service Information'!$B$8="10km or more",1,0.8)*('Service Information'!$B$17-SUM(H21:H24))))</f>
        <v>#DIV/0!</v>
      </c>
      <c r="J25" s="23"/>
      <c r="K25" s="222" t="e">
        <f>SUM(K21:K24)</f>
        <v>#DIV/0!</v>
      </c>
      <c r="L25" s="229"/>
    </row>
    <row r="26" spans="1:12" x14ac:dyDescent="0.25">
      <c r="A26" s="14" t="s">
        <v>18</v>
      </c>
      <c r="B26" s="135"/>
      <c r="C26" s="135"/>
      <c r="D26" s="24">
        <f>B26*C26</f>
        <v>0</v>
      </c>
      <c r="E26" s="11">
        <f t="shared" si="0"/>
        <v>0</v>
      </c>
      <c r="F26"/>
      <c r="G26" s="41" t="s">
        <v>113</v>
      </c>
      <c r="H26" s="216" t="e">
        <f>SUM(H21:H25)</f>
        <v>#DIV/0!</v>
      </c>
      <c r="J26" s="169" t="s">
        <v>122</v>
      </c>
      <c r="K26" s="221"/>
      <c r="L26" s="229"/>
    </row>
    <row r="27" spans="1:12" x14ac:dyDescent="0.25">
      <c r="A27" s="14" t="s">
        <v>21</v>
      </c>
      <c r="B27" s="139"/>
      <c r="C27" s="139"/>
      <c r="D27" s="25">
        <f>B27*C27</f>
        <v>0</v>
      </c>
      <c r="E27" s="11">
        <f>D27</f>
        <v>0</v>
      </c>
      <c r="F27"/>
      <c r="G27" s="39" t="s">
        <v>33</v>
      </c>
      <c r="H27" s="247" t="e">
        <f>IF('Service Information'!B15&gt;B28,0,1-'Service Information'!B15/B28)</f>
        <v>#DIV/0!</v>
      </c>
      <c r="J27" s="171">
        <v>42705</v>
      </c>
      <c r="K27" s="223">
        <f>H29/2</f>
        <v>0</v>
      </c>
      <c r="L27" s="229"/>
    </row>
    <row r="28" spans="1:12" x14ac:dyDescent="0.25">
      <c r="A28" s="14" t="s">
        <v>2</v>
      </c>
      <c r="B28" s="256">
        <f>SUM(B24:B27)</f>
        <v>0</v>
      </c>
      <c r="C28" s="11"/>
      <c r="D28" s="26">
        <f>SUM(D24:D27)</f>
        <v>0</v>
      </c>
      <c r="E28" s="181">
        <f>SUM(E24:E27)</f>
        <v>0</v>
      </c>
      <c r="F28"/>
      <c r="G28" s="42" t="s">
        <v>34</v>
      </c>
      <c r="H28" s="248" t="e">
        <f>1-IF('Service Information'!B12&lt;40,'Service Information'!B12,40)/40*IF('Service Information'!B14&lt;6,'Service Information'!B14,6)/6</f>
        <v>#DIV/0!</v>
      </c>
      <c r="J28" s="171">
        <v>42917</v>
      </c>
      <c r="K28" s="224">
        <f>H29/2</f>
        <v>0</v>
      </c>
      <c r="L28" s="229"/>
    </row>
    <row r="29" spans="1:12" x14ac:dyDescent="0.25">
      <c r="A29" s="14"/>
      <c r="B29" s="366" t="str">
        <f>IF(D28&gt;'Service Information'!B10*'Service Information'!B11,"Exceeds Licensed Places","")</f>
        <v/>
      </c>
      <c r="C29" s="366"/>
      <c r="D29" s="367"/>
      <c r="E29" s="161"/>
      <c r="G29" s="41" t="s">
        <v>38</v>
      </c>
      <c r="H29" s="246">
        <f>IF(OR('Service Information'!$B$7="Major Cities of Australia",'Service Information'!B7="Inner Regional Australia"),60,75)*SUM(B24:B26)</f>
        <v>0</v>
      </c>
      <c r="I29" s="241"/>
      <c r="J29" s="23"/>
      <c r="K29" s="225">
        <f>SUM(K27:K28)</f>
        <v>0</v>
      </c>
      <c r="L29" s="253"/>
    </row>
    <row r="30" spans="1:12" x14ac:dyDescent="0.25">
      <c r="A30" s="23" t="s">
        <v>3</v>
      </c>
      <c r="B30" s="290"/>
      <c r="C30" s="1"/>
      <c r="D30" s="27"/>
      <c r="E30" s="165"/>
      <c r="H30" s="210"/>
      <c r="J30" s="5"/>
      <c r="K30" s="220"/>
      <c r="L30" s="229"/>
    </row>
    <row r="31" spans="1:12" x14ac:dyDescent="0.25">
      <c r="A31" s="12"/>
      <c r="B31" s="10"/>
      <c r="C31" s="13"/>
      <c r="D31" s="7"/>
      <c r="E31" s="165"/>
      <c r="G31" s="241"/>
      <c r="H31" s="240"/>
      <c r="J31" s="243"/>
      <c r="K31" s="241"/>
      <c r="L31" s="235"/>
    </row>
    <row r="32" spans="1:12" x14ac:dyDescent="0.25">
      <c r="A32" s="50" t="s">
        <v>131</v>
      </c>
      <c r="B32" s="51"/>
      <c r="C32" s="51"/>
      <c r="D32" s="51"/>
      <c r="E32" s="51"/>
      <c r="G32" s="43" t="s">
        <v>220</v>
      </c>
      <c r="H32" s="217"/>
      <c r="J32" s="169" t="s">
        <v>121</v>
      </c>
      <c r="K32" s="221"/>
      <c r="L32" s="235"/>
    </row>
    <row r="33" spans="1:12" x14ac:dyDescent="0.25">
      <c r="A33" s="19"/>
      <c r="B33" s="362" t="s">
        <v>22</v>
      </c>
      <c r="C33" s="362" t="s">
        <v>24</v>
      </c>
      <c r="D33" s="364" t="s">
        <v>25</v>
      </c>
      <c r="E33" s="166"/>
      <c r="G33" s="44" t="s">
        <v>4</v>
      </c>
      <c r="H33" s="249" t="e">
        <f>(IF(B40&gt;'Service Information'!$B$15,'Service Information'!$B$15/B40,1)*SUM(B36:B38))*IF('Service Information'!$B$12&lt;40,'Service Information'!$B$12,40)/40*IF('Service Information'!$B$14&lt;6,'Service Information'!$B$14,6)/6*VLOOKUP('Service Information'!$B$6,'Service Information'!$G$5:$I$22,3,FALSE)</f>
        <v>#DIV/0!</v>
      </c>
      <c r="J33" s="171">
        <v>43070</v>
      </c>
      <c r="K33" s="230" t="e">
        <f>H38/4</f>
        <v>#DIV/0!</v>
      </c>
      <c r="L33" s="232" t="s">
        <v>162</v>
      </c>
    </row>
    <row r="34" spans="1:12" x14ac:dyDescent="0.25">
      <c r="A34" s="20"/>
      <c r="B34" s="363"/>
      <c r="C34" s="363"/>
      <c r="D34" s="365"/>
      <c r="E34" s="166"/>
      <c r="G34" s="45" t="s">
        <v>5</v>
      </c>
      <c r="H34" s="250" t="e">
        <f>SUM(B36,B38)*('Service Information'!$I$5-VLOOKUP('Service Information'!$B$6,'Service Information'!$G$5:$I$22,3,FALSE))*IF('Service Information'!$B$12&lt;40,'Service Information'!$B$12,40)/40*IF('Service Information'!$B$14&lt;6,'Service Information'!$B$14,6)/6</f>
        <v>#N/A</v>
      </c>
      <c r="J34" s="171">
        <v>43191</v>
      </c>
      <c r="K34" s="230" t="e">
        <f>K33</f>
        <v>#DIV/0!</v>
      </c>
      <c r="L34" s="232" t="s">
        <v>162</v>
      </c>
    </row>
    <row r="35" spans="1:12" x14ac:dyDescent="0.25">
      <c r="A35" s="21"/>
      <c r="B35" s="363"/>
      <c r="C35" s="363"/>
      <c r="D35" s="365"/>
      <c r="E35" s="166"/>
      <c r="G35" s="45" t="s">
        <v>6</v>
      </c>
      <c r="H35" s="250" t="e">
        <f>B42*410*IF('Service Information'!$B$12&lt;40,'Service Information'!$B$12,40)/40*IF('Service Information'!$B$14&lt;6,'Service Information'!$B$14,6)/6</f>
        <v>#DIV/0!</v>
      </c>
      <c r="J35" s="171">
        <v>43282</v>
      </c>
      <c r="K35" s="230" t="e">
        <f>K34</f>
        <v>#DIV/0!</v>
      </c>
      <c r="L35" s="232" t="s">
        <v>162</v>
      </c>
    </row>
    <row r="36" spans="1:12" x14ac:dyDescent="0.25">
      <c r="A36" s="14" t="s">
        <v>19</v>
      </c>
      <c r="B36" s="135"/>
      <c r="C36" s="135"/>
      <c r="D36" s="15">
        <f>B36*C36</f>
        <v>0</v>
      </c>
      <c r="E36" s="11">
        <f t="shared" ref="E36:E38" si="1">D36</f>
        <v>0</v>
      </c>
      <c r="G36" s="45" t="s">
        <v>201</v>
      </c>
      <c r="H36" s="250" t="e">
        <f>(IF(B40&gt;'Service Information'!$B$15,'Service Information'!$B$15/B40,1)*SUM(B36:B38))*IF('Service Information'!$B$12&lt;40,'Service Information'!$B$12,40)/40*IF('Service Information'!$B$14&lt;6,'Service Information'!$B$14,6)/6*IF(OR('Service Information'!$B$7="Remote Australia",'Service Information'!$B$7="Very Remote Australia"),1250*1.025,IF('Service Information'!$B$7="Outer Regional Australia",850*1.025,0))</f>
        <v>#DIV/0!</v>
      </c>
      <c r="J36" s="171">
        <v>43374</v>
      </c>
      <c r="K36" s="231" t="e">
        <f>K35</f>
        <v>#DIV/0!</v>
      </c>
      <c r="L36" s="232" t="s">
        <v>162</v>
      </c>
    </row>
    <row r="37" spans="1:12" x14ac:dyDescent="0.25">
      <c r="A37" s="14" t="s">
        <v>20</v>
      </c>
      <c r="B37" s="135"/>
      <c r="C37" s="135"/>
      <c r="D37" s="15">
        <f>B37*C37</f>
        <v>0</v>
      </c>
      <c r="E37" s="11">
        <f t="shared" si="1"/>
        <v>0</v>
      </c>
      <c r="G37" s="266" t="str">
        <f>IF('Service Information'!$B$7="Major Cities of Australia","","Preschools for Sustainable Communities")</f>
        <v>Preschools for Sustainable Communities</v>
      </c>
      <c r="H37" s="250" t="e">
        <f>MIN(70000,IF(OR(SUM(H33:H36)&gt;'Service Information'!$B$17,'Service Information'!$B$7="Major Cities of Australia"),0,IF('Service Information'!$B$8="10km or more",1,0.8)*('Service Information'!$B$17-SUM(H33:H36))))</f>
        <v>#DIV/0!</v>
      </c>
      <c r="J37" s="23"/>
      <c r="K37" s="222" t="e">
        <f>SUM(K33:K36)</f>
        <v>#DIV/0!</v>
      </c>
      <c r="L37" s="220"/>
    </row>
    <row r="38" spans="1:12" x14ac:dyDescent="0.25">
      <c r="A38" s="14" t="s">
        <v>18</v>
      </c>
      <c r="B38" s="135"/>
      <c r="C38" s="135"/>
      <c r="D38" s="15">
        <f>B38*C38</f>
        <v>0</v>
      </c>
      <c r="E38" s="11">
        <f t="shared" si="1"/>
        <v>0</v>
      </c>
      <c r="G38" s="46" t="s">
        <v>133</v>
      </c>
      <c r="H38" s="218" t="e">
        <f>SUM(H33:H37)</f>
        <v>#DIV/0!</v>
      </c>
      <c r="J38" s="169" t="s">
        <v>122</v>
      </c>
      <c r="K38" s="221"/>
      <c r="L38" s="220"/>
    </row>
    <row r="39" spans="1:12" x14ac:dyDescent="0.25">
      <c r="A39" s="14" t="s">
        <v>21</v>
      </c>
      <c r="B39" s="139"/>
      <c r="C39" s="139"/>
      <c r="D39" s="16">
        <f>B39*C39</f>
        <v>0</v>
      </c>
      <c r="E39" s="11">
        <f>D39</f>
        <v>0</v>
      </c>
      <c r="G39" s="44" t="s">
        <v>35</v>
      </c>
      <c r="H39" s="254" t="e">
        <f>IF('Service Information'!$B$15&gt;B40,0,1-'Service Information'!$B$15/B40)</f>
        <v>#DIV/0!</v>
      </c>
      <c r="J39" s="171">
        <v>43070</v>
      </c>
      <c r="K39" s="223">
        <f>H41/2</f>
        <v>0</v>
      </c>
      <c r="L39" s="220"/>
    </row>
    <row r="40" spans="1:12" x14ac:dyDescent="0.25">
      <c r="A40" s="14"/>
      <c r="B40" s="256">
        <f>SUM(B36:B39)</f>
        <v>0</v>
      </c>
      <c r="C40" s="6"/>
      <c r="D40" s="22">
        <f>SUM(D36:D39)</f>
        <v>0</v>
      </c>
      <c r="E40" s="7">
        <f>SUM(E36:E39)</f>
        <v>0</v>
      </c>
      <c r="G40" s="47" t="s">
        <v>36</v>
      </c>
      <c r="H40" s="255" t="e">
        <f>1-IF('Service Information'!B12&lt;40,'Service Information'!$B$12,40)/40*IF('Service Information'!$B$14&lt;6,'Service Information'!$B$14,6)/6</f>
        <v>#DIV/0!</v>
      </c>
      <c r="J40" s="171">
        <v>43282</v>
      </c>
      <c r="K40" s="224">
        <f>H41/2</f>
        <v>0</v>
      </c>
    </row>
    <row r="41" spans="1:12" x14ac:dyDescent="0.25">
      <c r="A41" s="21"/>
      <c r="B41" s="360" t="str">
        <f>IF(D40&gt;'Service Information'!B10*'Service Information'!B11,"Exceeds Licensed Places","")</f>
        <v/>
      </c>
      <c r="C41" s="360"/>
      <c r="D41" s="361"/>
      <c r="E41" s="163"/>
      <c r="G41" s="46" t="s">
        <v>132</v>
      </c>
      <c r="H41" s="251">
        <f>IF(OR('Service Information'!$B$7="Major Cities of Australia",'Service Information'!B7="Inner Regional Australia"),60,75)*SUM(B36:B38)</f>
        <v>0</v>
      </c>
      <c r="J41" s="23"/>
      <c r="K41" s="225">
        <f>SUM(K39:K40)</f>
        <v>0</v>
      </c>
    </row>
    <row r="42" spans="1:12" x14ac:dyDescent="0.25">
      <c r="A42" s="23" t="s">
        <v>3</v>
      </c>
      <c r="B42" s="290">
        <v>1</v>
      </c>
      <c r="C42" s="29"/>
      <c r="D42" s="30"/>
      <c r="E42" s="164"/>
      <c r="G42" s="168"/>
      <c r="H42" s="168"/>
    </row>
    <row r="43" spans="1:12" x14ac:dyDescent="0.25">
      <c r="E43" s="164"/>
    </row>
    <row r="44" spans="1:12" x14ac:dyDescent="0.25">
      <c r="A44" s="327" t="s">
        <v>215</v>
      </c>
      <c r="B44" s="328"/>
      <c r="C44" s="328"/>
      <c r="D44" s="328"/>
      <c r="E44" s="51"/>
      <c r="F44" s="262"/>
      <c r="G44" s="329" t="s">
        <v>221</v>
      </c>
      <c r="H44" s="330"/>
      <c r="I44" s="262"/>
      <c r="J44" s="169" t="s">
        <v>121</v>
      </c>
      <c r="K44" s="221"/>
      <c r="L44" s="235"/>
    </row>
    <row r="45" spans="1:12" x14ac:dyDescent="0.25">
      <c r="A45" s="19"/>
      <c r="B45" s="362" t="s">
        <v>22</v>
      </c>
      <c r="C45" s="362" t="s">
        <v>24</v>
      </c>
      <c r="D45" s="364" t="s">
        <v>25</v>
      </c>
      <c r="E45" s="322"/>
      <c r="F45" s="262"/>
      <c r="G45" s="331" t="s">
        <v>4</v>
      </c>
      <c r="H45" s="332" t="e">
        <f>(IF(B52&gt;'Service Information'!$B$15,'Service Information'!$B$15/B52,1)*SUM(B48:B50))*IF('Service Information'!$B$12&lt;40,'Service Information'!$B$12,40)/40*IF('Service Information'!$B$14&lt;6,'Service Information'!$B$14,6)/6*VLOOKUP('Service Information'!$B$6,'Service Information'!$G$5:$I$22,3,FALSE)</f>
        <v>#DIV/0!</v>
      </c>
      <c r="I45" s="262"/>
      <c r="J45" s="171">
        <v>43435</v>
      </c>
      <c r="K45" s="233" t="e">
        <f>H50/4</f>
        <v>#DIV/0!</v>
      </c>
      <c r="L45" s="235" t="s">
        <v>222</v>
      </c>
    </row>
    <row r="46" spans="1:12" x14ac:dyDescent="0.25">
      <c r="A46" s="20"/>
      <c r="B46" s="363"/>
      <c r="C46" s="363"/>
      <c r="D46" s="365"/>
      <c r="E46" s="322"/>
      <c r="F46" s="262"/>
      <c r="G46" s="333" t="s">
        <v>5</v>
      </c>
      <c r="H46" s="334" t="e">
        <f>SUM(B48,B50)*('Service Information'!$I$5-VLOOKUP('Service Information'!$B$6,'Service Information'!$G$5:$I$22,3,FALSE))*IF('Service Information'!$B$12&lt;40,'Service Information'!$B$12,40)/40*IF('Service Information'!$B$14&lt;6,'Service Information'!$B$14,6)/6</f>
        <v>#N/A</v>
      </c>
      <c r="I46" s="262"/>
      <c r="J46" s="171">
        <v>43556</v>
      </c>
      <c r="K46" s="233" t="e">
        <f>K45</f>
        <v>#DIV/0!</v>
      </c>
      <c r="L46" s="235" t="s">
        <v>222</v>
      </c>
    </row>
    <row r="47" spans="1:12" x14ac:dyDescent="0.25">
      <c r="A47" s="226"/>
      <c r="B47" s="363"/>
      <c r="C47" s="363"/>
      <c r="D47" s="365"/>
      <c r="E47" s="322"/>
      <c r="F47" s="262"/>
      <c r="G47" s="333" t="s">
        <v>6</v>
      </c>
      <c r="H47" s="334" t="e">
        <f>B54*410*IF('Service Information'!$B$12&lt;40,'Service Information'!$B$12,40)/40*IF('Service Information'!$B$14&lt;6,'Service Information'!$B$14,6)/6</f>
        <v>#DIV/0!</v>
      </c>
      <c r="I47" s="262"/>
      <c r="J47" s="171">
        <v>43647</v>
      </c>
      <c r="K47" s="233" t="e">
        <f>K46</f>
        <v>#DIV/0!</v>
      </c>
      <c r="L47" s="235" t="s">
        <v>222</v>
      </c>
    </row>
    <row r="48" spans="1:12" ht="14.65" customHeight="1" x14ac:dyDescent="0.25">
      <c r="A48" s="209" t="s">
        <v>19</v>
      </c>
      <c r="B48" s="135"/>
      <c r="C48" s="135"/>
      <c r="D48" s="15">
        <f>B48*C48</f>
        <v>0</v>
      </c>
      <c r="E48" s="11">
        <f t="shared" ref="E48:E50" si="2">D48</f>
        <v>0</v>
      </c>
      <c r="F48" s="262"/>
      <c r="G48" s="333" t="s">
        <v>201</v>
      </c>
      <c r="H48" s="334" t="e">
        <f>(IF(B52&gt;'Service Information'!$B$15,'Service Information'!$B$15/B52,1)*SUM(B48:B50))*IF('Service Information'!$B$12&lt;40,'Service Information'!$B$12,40)/40*IF('Service Information'!$B$14&lt;6,'Service Information'!$B$14,6)/6*IF(OR('Service Information'!$B$7="Remote Australia",'Service Information'!$B$7="Very Remote Australia"),1250*1.025,IF('Service Information'!$B$7="Outer Regional Australia",850*1.025,0))</f>
        <v>#DIV/0!</v>
      </c>
      <c r="I48" s="262"/>
      <c r="J48" s="171">
        <v>43739</v>
      </c>
      <c r="K48" s="234" t="e">
        <f>K47</f>
        <v>#DIV/0!</v>
      </c>
      <c r="L48" s="235" t="s">
        <v>222</v>
      </c>
    </row>
    <row r="49" spans="1:12" x14ac:dyDescent="0.25">
      <c r="A49" s="209" t="s">
        <v>20</v>
      </c>
      <c r="B49" s="135"/>
      <c r="C49" s="135"/>
      <c r="D49" s="15">
        <f>B49*C49</f>
        <v>0</v>
      </c>
      <c r="E49" s="11">
        <f t="shared" si="2"/>
        <v>0</v>
      </c>
      <c r="F49" s="262"/>
      <c r="G49" s="333" t="str">
        <f>IF('Service Information'!$B$7="Major Cities of Australia","","Preschools for Sustainable Communities")</f>
        <v>Preschools for Sustainable Communities</v>
      </c>
      <c r="H49" s="334" t="e">
        <f>MIN(70000,IF(OR(SUM(H45:H48)&gt;'Service Information'!$B$17,'Service Information'!$B$7="Major Cities of Australia"),0,IF('Service Information'!$B$8="10km or more",1,0.8)*('Service Information'!$B$17-SUM(H45:H48))))</f>
        <v>#DIV/0!</v>
      </c>
      <c r="I49" s="262"/>
      <c r="J49" s="197"/>
      <c r="K49" s="222" t="e">
        <f>SUM(K45:K48)</f>
        <v>#DIV/0!</v>
      </c>
      <c r="L49" s="262"/>
    </row>
    <row r="50" spans="1:12" x14ac:dyDescent="0.25">
      <c r="A50" s="209" t="s">
        <v>18</v>
      </c>
      <c r="B50" s="135"/>
      <c r="C50" s="135"/>
      <c r="D50" s="15">
        <f>B50*C50</f>
        <v>0</v>
      </c>
      <c r="E50" s="11">
        <f t="shared" si="2"/>
        <v>0</v>
      </c>
      <c r="F50" s="262"/>
      <c r="G50" s="335" t="s">
        <v>133</v>
      </c>
      <c r="H50" s="336" t="e">
        <f>SUM(H45:H49)</f>
        <v>#DIV/0!</v>
      </c>
      <c r="I50" s="262"/>
      <c r="J50" s="169" t="s">
        <v>122</v>
      </c>
      <c r="K50" s="221"/>
      <c r="L50" s="262"/>
    </row>
    <row r="51" spans="1:12" x14ac:dyDescent="0.25">
      <c r="A51" s="209" t="s">
        <v>21</v>
      </c>
      <c r="B51" s="139"/>
      <c r="C51" s="139"/>
      <c r="D51" s="16">
        <f>B51*C51</f>
        <v>0</v>
      </c>
      <c r="E51" s="11">
        <f>D51</f>
        <v>0</v>
      </c>
      <c r="F51" s="262"/>
      <c r="G51" s="331" t="s">
        <v>216</v>
      </c>
      <c r="H51" s="337" t="e">
        <f>IF('Service Information'!$B$15&gt;B52,0,1-'Service Information'!$B$15/B52)</f>
        <v>#DIV/0!</v>
      </c>
      <c r="I51" s="262"/>
      <c r="J51" s="171">
        <v>43435</v>
      </c>
      <c r="K51" s="223">
        <f>H53/2</f>
        <v>0</v>
      </c>
      <c r="L51" s="262"/>
    </row>
    <row r="52" spans="1:12" x14ac:dyDescent="0.25">
      <c r="A52" s="209"/>
      <c r="B52" s="256">
        <f>SUM(B48:B51)</f>
        <v>0</v>
      </c>
      <c r="C52" s="208"/>
      <c r="D52" s="22">
        <f>SUM(D48:D51)</f>
        <v>0</v>
      </c>
      <c r="E52" s="7">
        <f>SUM(E48:E51)</f>
        <v>0</v>
      </c>
      <c r="F52" s="262"/>
      <c r="G52" s="338" t="s">
        <v>217</v>
      </c>
      <c r="H52" s="339" t="e">
        <f>1-IF('Service Information'!$B$12&lt;40,'Service Information'!$B$12,40)/40*IF('Service Information'!$B$14&lt;6,'Service Information'!$B$14,6)/6</f>
        <v>#DIV/0!</v>
      </c>
      <c r="I52" s="262"/>
      <c r="J52" s="171">
        <v>43647</v>
      </c>
      <c r="K52" s="224">
        <f>H53/2</f>
        <v>0</v>
      </c>
      <c r="L52" s="262"/>
    </row>
    <row r="53" spans="1:12" x14ac:dyDescent="0.25">
      <c r="A53" s="226"/>
      <c r="B53" s="360" t="str">
        <f>IF(D52&gt;'Service Information'!B10*'Service Information'!B11,"Exceeds Licensed Places","")</f>
        <v/>
      </c>
      <c r="C53" s="360"/>
      <c r="D53" s="361"/>
      <c r="E53" s="321"/>
      <c r="F53" s="262"/>
      <c r="G53" s="335" t="s">
        <v>218</v>
      </c>
      <c r="H53" s="336">
        <f>IF(OR('Service Information'!$B$7="Major Cities of Australia",'Service Information'!B7="Inner Regional Australia"),60,75)*SUM(B48:B50)</f>
        <v>0</v>
      </c>
      <c r="I53" s="262"/>
      <c r="J53" s="197"/>
      <c r="K53" s="225">
        <f>SUM(K51:K52)</f>
        <v>0</v>
      </c>
      <c r="L53" s="262"/>
    </row>
    <row r="54" spans="1:12" x14ac:dyDescent="0.25">
      <c r="A54" s="197" t="s">
        <v>3</v>
      </c>
      <c r="B54" s="290"/>
      <c r="C54" s="29"/>
      <c r="D54" s="30"/>
      <c r="E54" s="164"/>
      <c r="F54" s="262"/>
      <c r="G54" s="168"/>
      <c r="H54" s="168"/>
      <c r="I54" s="262"/>
      <c r="J54" s="262"/>
      <c r="K54" s="262"/>
      <c r="L54" s="262"/>
    </row>
    <row r="55" spans="1:12" x14ac:dyDescent="0.25">
      <c r="A55" s="262"/>
      <c r="B55" s="262"/>
      <c r="C55" s="262"/>
      <c r="D55" s="262"/>
      <c r="E55" s="164"/>
      <c r="F55" s="262"/>
      <c r="G55" s="262"/>
      <c r="H55" s="262"/>
      <c r="I55" s="262"/>
      <c r="J55" s="262"/>
      <c r="K55" s="262"/>
      <c r="L55" s="262"/>
    </row>
  </sheetData>
  <sheetProtection algorithmName="SHA-512" hashValue="GpEp9B3BghcSlcmFtZNlRE1lxJyPlM5qqc1JLRyhVHfjV+p1tbFye4VmM/iizRI0Si4dfezehNvvMSvq8FF7cA==" saltValue="KOX4yVAxZCz4F7hMB3e2rA==" spinCount="100000" sheet="1" objects="1" scenarios="1"/>
  <mergeCells count="18">
    <mergeCell ref="B45:B47"/>
    <mergeCell ref="C45:C47"/>
    <mergeCell ref="D45:D47"/>
    <mergeCell ref="B53:D53"/>
    <mergeCell ref="B12:C12"/>
    <mergeCell ref="B10:C10"/>
    <mergeCell ref="B11:C11"/>
    <mergeCell ref="A1:H2"/>
    <mergeCell ref="B41:D41"/>
    <mergeCell ref="B21:B23"/>
    <mergeCell ref="C21:C23"/>
    <mergeCell ref="D21:D23"/>
    <mergeCell ref="B33:B35"/>
    <mergeCell ref="C33:C35"/>
    <mergeCell ref="B29:D29"/>
    <mergeCell ref="D33:D35"/>
    <mergeCell ref="B4:D4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2"/>
  <sheetViews>
    <sheetView showGridLines="0" showZeros="0" zoomScale="93" zoomScaleNormal="93" workbookViewId="0">
      <selection activeCell="B2" sqref="B2"/>
    </sheetView>
  </sheetViews>
  <sheetFormatPr defaultRowHeight="15" x14ac:dyDescent="0.25"/>
  <cols>
    <col min="1" max="1" width="31.28515625" bestFit="1" customWidth="1"/>
    <col min="2" max="2" width="11.28515625" style="122" customWidth="1"/>
    <col min="3" max="3" width="11.85546875" style="122" customWidth="1"/>
    <col min="4" max="4" width="15.28515625" style="122" customWidth="1"/>
    <col min="5" max="5" width="10.7109375" style="122" customWidth="1"/>
    <col min="6" max="6" width="11.5703125" style="122" customWidth="1"/>
    <col min="7" max="7" width="11.5703125" style="2" hidden="1" customWidth="1"/>
    <col min="8" max="34" width="11.5703125" hidden="1" customWidth="1"/>
    <col min="35" max="35" width="11.5703125" customWidth="1"/>
    <col min="36" max="36" width="16.140625" bestFit="1" customWidth="1"/>
    <col min="37" max="37" width="15.28515625" customWidth="1"/>
    <col min="38" max="38" width="16.140625" bestFit="1" customWidth="1"/>
    <col min="39" max="46" width="10.7109375" customWidth="1"/>
  </cols>
  <sheetData>
    <row r="1" spans="1:40" s="120" customFormat="1" ht="14.65" customHeight="1" x14ac:dyDescent="0.25">
      <c r="C1" s="373" t="s">
        <v>104</v>
      </c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</row>
    <row r="2" spans="1:40" s="120" customFormat="1" ht="14.65" customHeight="1" x14ac:dyDescent="0.25">
      <c r="A2" s="121" t="s">
        <v>223</v>
      </c>
      <c r="B2" s="124">
        <v>42738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</row>
    <row r="3" spans="1:40" s="120" customFormat="1" x14ac:dyDescent="0.25">
      <c r="A3" s="253" t="s">
        <v>202</v>
      </c>
      <c r="B3" s="288" t="s">
        <v>228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</row>
    <row r="4" spans="1:40" s="120" customFormat="1" hidden="1" x14ac:dyDescent="0.25">
      <c r="A4" s="117" t="s">
        <v>102</v>
      </c>
      <c r="B4" s="118">
        <f>IF(B2&gt;DATE(2017,1,13),B2+13*14,B2+14*14)</f>
        <v>42934</v>
      </c>
      <c r="C4" s="122"/>
      <c r="D4" s="122"/>
      <c r="E4" s="122"/>
      <c r="F4" s="122"/>
      <c r="G4" s="122"/>
    </row>
    <row r="5" spans="1:40" s="120" customFormat="1" hidden="1" x14ac:dyDescent="0.25">
      <c r="B5" s="122"/>
      <c r="C5" s="122"/>
      <c r="D5" s="122"/>
      <c r="E5" s="122"/>
      <c r="F5" s="122"/>
      <c r="G5" s="122"/>
    </row>
    <row r="6" spans="1:40" s="116" customFormat="1" ht="60" x14ac:dyDescent="0.25">
      <c r="A6" s="125" t="s">
        <v>109</v>
      </c>
      <c r="B6" s="126" t="s">
        <v>224</v>
      </c>
      <c r="C6" s="126" t="s">
        <v>103</v>
      </c>
      <c r="D6" s="126" t="s">
        <v>86</v>
      </c>
      <c r="E6" s="126" t="s">
        <v>85</v>
      </c>
      <c r="F6" s="126" t="s">
        <v>87</v>
      </c>
      <c r="G6" s="125"/>
      <c r="H6" s="127">
        <f>B2</f>
        <v>42738</v>
      </c>
      <c r="I6" s="127">
        <f>H6+14</f>
        <v>42752</v>
      </c>
      <c r="J6" s="127">
        <f t="shared" ref="J6:AH6" si="0">I6+14</f>
        <v>42766</v>
      </c>
      <c r="K6" s="127">
        <f t="shared" si="0"/>
        <v>42780</v>
      </c>
      <c r="L6" s="127">
        <f t="shared" si="0"/>
        <v>42794</v>
      </c>
      <c r="M6" s="127">
        <f t="shared" si="0"/>
        <v>42808</v>
      </c>
      <c r="N6" s="127">
        <f t="shared" si="0"/>
        <v>42822</v>
      </c>
      <c r="O6" s="127">
        <f t="shared" si="0"/>
        <v>42836</v>
      </c>
      <c r="P6" s="127">
        <f t="shared" si="0"/>
        <v>42850</v>
      </c>
      <c r="Q6" s="127">
        <f t="shared" si="0"/>
        <v>42864</v>
      </c>
      <c r="R6" s="127">
        <f>Q6+14</f>
        <v>42878</v>
      </c>
      <c r="S6" s="127">
        <f t="shared" si="0"/>
        <v>42892</v>
      </c>
      <c r="T6" s="127">
        <f t="shared" si="0"/>
        <v>42906</v>
      </c>
      <c r="U6" s="127">
        <f t="shared" si="0"/>
        <v>42920</v>
      </c>
      <c r="V6" s="127">
        <f t="shared" si="0"/>
        <v>42934</v>
      </c>
      <c r="W6" s="127">
        <f t="shared" si="0"/>
        <v>42948</v>
      </c>
      <c r="X6" s="127">
        <f t="shared" si="0"/>
        <v>42962</v>
      </c>
      <c r="Y6" s="127">
        <f t="shared" si="0"/>
        <v>42976</v>
      </c>
      <c r="Z6" s="127">
        <f t="shared" si="0"/>
        <v>42990</v>
      </c>
      <c r="AA6" s="127">
        <f>Z6+14</f>
        <v>43004</v>
      </c>
      <c r="AB6" s="127">
        <f t="shared" si="0"/>
        <v>43018</v>
      </c>
      <c r="AC6" s="127">
        <f t="shared" si="0"/>
        <v>43032</v>
      </c>
      <c r="AD6" s="127">
        <f t="shared" si="0"/>
        <v>43046</v>
      </c>
      <c r="AE6" s="127">
        <f t="shared" si="0"/>
        <v>43060</v>
      </c>
      <c r="AF6" s="127">
        <f t="shared" si="0"/>
        <v>43074</v>
      </c>
      <c r="AG6" s="127">
        <f t="shared" si="0"/>
        <v>43088</v>
      </c>
      <c r="AH6" s="127">
        <f t="shared" si="0"/>
        <v>43102</v>
      </c>
      <c r="AI6" s="128" t="s">
        <v>127</v>
      </c>
      <c r="AJ6" s="128" t="s">
        <v>128</v>
      </c>
      <c r="AK6" s="128" t="s">
        <v>225</v>
      </c>
      <c r="AL6" s="159" t="s">
        <v>226</v>
      </c>
      <c r="AM6" s="119"/>
      <c r="AN6" s="119"/>
    </row>
    <row r="7" spans="1:40" x14ac:dyDescent="0.25">
      <c r="A7" s="129" t="s">
        <v>134</v>
      </c>
      <c r="B7" s="189"/>
      <c r="C7" s="190"/>
      <c r="D7" s="143"/>
      <c r="E7" s="130"/>
      <c r="F7" s="148">
        <v>0</v>
      </c>
      <c r="G7" s="131">
        <f>1+F7</f>
        <v>1</v>
      </c>
      <c r="H7" s="17">
        <f>IF($D7&gt;$H$6,$B7*$E7*2,$C7*$E7*2)*IF($B$3="Weekly",0.5,1)</f>
        <v>0</v>
      </c>
      <c r="I7" s="17">
        <f t="shared" ref="I7:I31" si="1">IF($D7&gt;$I$6,$B7*$E7*2,$C7*$E7*2)</f>
        <v>0</v>
      </c>
      <c r="J7" s="17">
        <f t="shared" ref="J7:J31" si="2">IF($D7&gt;$J$6,$B7*$E7*2,$C7*$E7*2)</f>
        <v>0</v>
      </c>
      <c r="K7" s="17">
        <f t="shared" ref="K7:K31" si="3">IF($D7&gt;$K$6,$B7*$E7*2,$C7*$E7*2)</f>
        <v>0</v>
      </c>
      <c r="L7" s="17">
        <f t="shared" ref="L7:L31" si="4">IF($D7&gt;$L$6,$B7*$E7*2,$C7*$E7*2)</f>
        <v>0</v>
      </c>
      <c r="M7" s="17">
        <f t="shared" ref="M7:M31" si="5">IF($D7&gt;$M$6,$B7*$E7*2,$C7*$E7*2)</f>
        <v>0</v>
      </c>
      <c r="N7" s="17">
        <f t="shared" ref="N7:N31" si="6">IF($D7&gt;$N$6,$B7*$E7*2,$C7*$E7*2)</f>
        <v>0</v>
      </c>
      <c r="O7" s="17">
        <f t="shared" ref="O7:O31" si="7">IF($D7&gt;$O$6,$B7*$E7*2,$C7*$E7*2)</f>
        <v>0</v>
      </c>
      <c r="P7" s="17">
        <f t="shared" ref="P7:P31" si="8">IF($D7&gt;$P$6,$B7*$E7*2,$C7*$E7*2)</f>
        <v>0</v>
      </c>
      <c r="Q7" s="17">
        <f t="shared" ref="Q7:Q31" si="9">IF($D7&gt;$Q$6,$B7*$E7*2,$C7*$E7*2)</f>
        <v>0</v>
      </c>
      <c r="R7" s="17">
        <f t="shared" ref="R7:R31" si="10">IF($D7&gt;$R$6,$B7*$E7*2,$C7*$E7*2)</f>
        <v>0</v>
      </c>
      <c r="S7" s="17">
        <f t="shared" ref="S7:S31" si="11">IF($D7&gt;$S$6,$B7*$E7*2,$C7*$E7*2)</f>
        <v>0</v>
      </c>
      <c r="T7" s="17">
        <f t="shared" ref="T7:T31" si="12">IF($D7&gt;$T$6,$B7*$E7*2,$C7*$E7*2)*IF($T$6&gt;=$B$4,$G$7,1)</f>
        <v>0</v>
      </c>
      <c r="U7" s="17">
        <f>IF($D7&gt;$U$6,$B7*$E7*2,$C7*$E7*2)*IF($U$6&gt;=$B$4,$G$7,1)</f>
        <v>0</v>
      </c>
      <c r="V7" s="17">
        <f>IF($D7&gt;$V$6,$B7*$E7*2,$C7*$E7*2)*$G$7</f>
        <v>0</v>
      </c>
      <c r="W7" s="17">
        <f t="shared" ref="W7:W31" si="13">IF($D7&gt;$W$6,$B7*$E7*2,$C7*$E7*2)*$G$7</f>
        <v>0</v>
      </c>
      <c r="X7" s="17">
        <f t="shared" ref="X7:X31" si="14">IF($D7&gt;$X$6,$B7*$E7*2,$C7*$E7*2)*$G$7</f>
        <v>0</v>
      </c>
      <c r="Y7" s="17">
        <f t="shared" ref="Y7:Y31" si="15">IF($D7&gt;$Y$6,$B7*$E7*2,$C7*$E7*2)*$G$7</f>
        <v>0</v>
      </c>
      <c r="Z7" s="17">
        <f t="shared" ref="Z7:Z31" si="16">IF($D7&gt;$Z$6,$B7*$E7*2,$C7*$E7*2)*$G$7</f>
        <v>0</v>
      </c>
      <c r="AA7" s="17">
        <f t="shared" ref="AA7:AA31" si="17">IF($D7&gt;$AA$6,$B7*$E7*2,$C7*$E7*2)*$G$7</f>
        <v>0</v>
      </c>
      <c r="AB7" s="17">
        <f t="shared" ref="AB7:AB31" si="18">IF($D7&gt;$AB$6,$B7*$E7*2,$C7*$E7*2)*$G$7</f>
        <v>0</v>
      </c>
      <c r="AC7" s="17">
        <f t="shared" ref="AC7:AC31" si="19">IF($D7&gt;$AC$6,$B7*$E7*2,$C7*$E7*2)*$G$7</f>
        <v>0</v>
      </c>
      <c r="AD7" s="17">
        <f t="shared" ref="AD7:AD31" si="20">IF($D7&gt;$AD$6,$B7*$E7*2,$C7*$E7*2)*$G$7</f>
        <v>0</v>
      </c>
      <c r="AE7" s="17">
        <f t="shared" ref="AE7:AE31" si="21">IF($D7&gt;$AE$6,$B7*$E7*2,$C7*$E7*2)*$G$7</f>
        <v>0</v>
      </c>
      <c r="AF7" s="17">
        <f t="shared" ref="AF7:AF31" si="22">IF($D7&gt;$AF$6,$B7*$E7*2,$C7*$E7*2)*$G$7</f>
        <v>0</v>
      </c>
      <c r="AG7" s="17">
        <f t="shared" ref="AG7:AG31" si="23">IF($D7&gt;$AG$6,$B7*$E7*2,$C7*$E7*2)*$G$7</f>
        <v>0</v>
      </c>
      <c r="AH7" s="270">
        <f>IF($B$3="Fortnightly",IF($AH$6&gt;DATE(2017,12,31),0,IF($D7&gt;$AH$6,$B7*$E7*2,$C7*$E7*2)*$G$7),IF($AH$6&gt;DATE(2017,12,31),IF($AH$6&lt;DATE(2018,1,8),IF($D7&gt;$AH$6,$B7*$E7*2,$C7*$E7*2)*$G$7/2,0),IF($D7&gt;$AH$6,$B7*$E7*2,$C7*$E7*2)*$G$7))</f>
        <v>0</v>
      </c>
      <c r="AI7" s="146">
        <f>SUM(H7:AH7)+0.175*SUM(AF7:AG7)</f>
        <v>0</v>
      </c>
      <c r="AJ7" s="132">
        <f>SUM(H7:AH7)*0.095</f>
        <v>0</v>
      </c>
      <c r="AK7" s="147">
        <f>IF($B$2=DATE(2017,1,1),AI7*$G$7*IF($B$3="Fortnightly",26/27,52/53),IF($B$2=DATE(2017,1,2),AI7*$G$7*IF($B$3="Fortnightly",27/26,53/52),AI7*$G$7))</f>
        <v>0</v>
      </c>
      <c r="AL7" s="146">
        <f>IF($B$2=DATE(2017,1,1),AJ7*$G$7*IF($B$3="Fortnightly",26/27,52/53),IF($B$2=DATE(2017,1,2),AJ7*$G$7*IF($B$3="Fortnightly",27/26,53/52),AJ7*$G$7))</f>
        <v>0</v>
      </c>
      <c r="AN7" s="120"/>
    </row>
    <row r="8" spans="1:40" x14ac:dyDescent="0.25">
      <c r="A8" s="133" t="s">
        <v>135</v>
      </c>
      <c r="B8" s="141"/>
      <c r="C8" s="134"/>
      <c r="D8" s="144"/>
      <c r="E8" s="135"/>
      <c r="F8" s="149"/>
      <c r="G8" s="136"/>
      <c r="H8" s="208">
        <f>IF($D8&gt;$H$6,$B8*$E8*2,$C8*$E8*2)*IF($B$3="Weekly",0.5,1)</f>
        <v>0</v>
      </c>
      <c r="I8" s="208">
        <f t="shared" si="1"/>
        <v>0</v>
      </c>
      <c r="J8" s="208">
        <f t="shared" si="2"/>
        <v>0</v>
      </c>
      <c r="K8" s="208">
        <f t="shared" si="3"/>
        <v>0</v>
      </c>
      <c r="L8" s="208">
        <f t="shared" si="4"/>
        <v>0</v>
      </c>
      <c r="M8" s="208">
        <f t="shared" si="5"/>
        <v>0</v>
      </c>
      <c r="N8" s="208">
        <f t="shared" si="6"/>
        <v>0</v>
      </c>
      <c r="O8" s="208">
        <f t="shared" si="7"/>
        <v>0</v>
      </c>
      <c r="P8" s="208">
        <f t="shared" si="8"/>
        <v>0</v>
      </c>
      <c r="Q8" s="208">
        <f t="shared" si="9"/>
        <v>0</v>
      </c>
      <c r="R8" s="208">
        <f t="shared" si="10"/>
        <v>0</v>
      </c>
      <c r="S8" s="208">
        <f t="shared" si="11"/>
        <v>0</v>
      </c>
      <c r="T8" s="208">
        <f t="shared" si="12"/>
        <v>0</v>
      </c>
      <c r="U8" s="208">
        <f t="shared" ref="U8:U31" si="24">IF($D8&gt;$U$6,$B8*$E8*2,$C8*$E8*2)*IF($U$6&gt;=$B$4,$G$7,1)</f>
        <v>0</v>
      </c>
      <c r="V8" s="208">
        <f t="shared" ref="V8:V31" si="25">IF($D8&gt;$V$6,$B8*$E8*2,$C8*$E8*2)*$G$7</f>
        <v>0</v>
      </c>
      <c r="W8" s="208">
        <f t="shared" si="13"/>
        <v>0</v>
      </c>
      <c r="X8" s="208">
        <f t="shared" si="14"/>
        <v>0</v>
      </c>
      <c r="Y8" s="208">
        <f t="shared" si="15"/>
        <v>0</v>
      </c>
      <c r="Z8" s="208">
        <f t="shared" si="16"/>
        <v>0</v>
      </c>
      <c r="AA8" s="208">
        <f t="shared" si="17"/>
        <v>0</v>
      </c>
      <c r="AB8" s="208">
        <f t="shared" si="18"/>
        <v>0</v>
      </c>
      <c r="AC8" s="208">
        <f t="shared" si="19"/>
        <v>0</v>
      </c>
      <c r="AD8" s="208">
        <f t="shared" si="20"/>
        <v>0</v>
      </c>
      <c r="AE8" s="208">
        <f t="shared" si="21"/>
        <v>0</v>
      </c>
      <c r="AF8" s="208">
        <f t="shared" si="22"/>
        <v>0</v>
      </c>
      <c r="AG8" s="208">
        <f t="shared" si="23"/>
        <v>0</v>
      </c>
      <c r="AH8" s="15">
        <f>IF($B$3="Fortnightly",IF($AH$6&gt;DATE(2017,12,31),0,IF($D8&gt;$AH$6,$B8*$E8*2,$C8*$E8*2)*$G$7),IF($AH$6&gt;DATE(2017,12,31),IF($AH$6&lt;DATE(2018,1,8),IF($D8&gt;$AH$6,$B8*$E8*2,$C8*$E8*2)*$G$7/2,0),IF($D8&gt;$AH$6,$B8*$E8*2,$C8*$E8*2)*$G$7))</f>
        <v>0</v>
      </c>
      <c r="AI8" s="350">
        <f t="shared" ref="AI8:AI31" si="26">SUM(H8:AH8)+0.175*SUM(AF8:AG8)</f>
        <v>0</v>
      </c>
      <c r="AJ8" s="351">
        <f t="shared" ref="AJ8:AJ31" si="27">SUM(H8:AH8)*0.095</f>
        <v>0</v>
      </c>
      <c r="AK8" s="350">
        <f t="shared" ref="AK8:AK31" si="28">IF($B$2=DATE(2017,1,1),AI8*$G$7*IF($B$3="Fortnightly",26/27,52/53),IF($B$2=DATE(2017,1,2),AI8*$G$7*IF($B$3="Fortnightly",27/26,53/52),AI8*$G$7))</f>
        <v>0</v>
      </c>
      <c r="AL8" s="350">
        <f t="shared" ref="AL8:AL31" si="29">IF($B$2=DATE(2017,1,1),AJ8*$G$7*IF($B$3="Fortnightly",26/27,52/53),IF($B$2=DATE(2017,1,2),AJ8*$G$7*IF($B$3="Fortnightly",27/26,53/52),AJ8*$G$7))</f>
        <v>0</v>
      </c>
    </row>
    <row r="9" spans="1:40" x14ac:dyDescent="0.25">
      <c r="A9" s="133" t="s">
        <v>136</v>
      </c>
      <c r="B9" s="141"/>
      <c r="C9" s="134"/>
      <c r="D9" s="144"/>
      <c r="E9" s="135"/>
      <c r="F9" s="149"/>
      <c r="G9" s="136"/>
      <c r="H9" s="208">
        <f t="shared" ref="H9:H31" si="30">IF($D9&gt;$H$6,$B9*$E9*2,$C9*$E9*2)*IF($B$3="Weekly",0.5,1)</f>
        <v>0</v>
      </c>
      <c r="I9" s="208">
        <f t="shared" si="1"/>
        <v>0</v>
      </c>
      <c r="J9" s="208">
        <f t="shared" si="2"/>
        <v>0</v>
      </c>
      <c r="K9" s="208">
        <f t="shared" si="3"/>
        <v>0</v>
      </c>
      <c r="L9" s="208">
        <f t="shared" si="4"/>
        <v>0</v>
      </c>
      <c r="M9" s="208">
        <f t="shared" si="5"/>
        <v>0</v>
      </c>
      <c r="N9" s="208">
        <f t="shared" si="6"/>
        <v>0</v>
      </c>
      <c r="O9" s="208">
        <f t="shared" si="7"/>
        <v>0</v>
      </c>
      <c r="P9" s="208">
        <f t="shared" si="8"/>
        <v>0</v>
      </c>
      <c r="Q9" s="208">
        <f t="shared" si="9"/>
        <v>0</v>
      </c>
      <c r="R9" s="208">
        <f t="shared" si="10"/>
        <v>0</v>
      </c>
      <c r="S9" s="208">
        <f t="shared" si="11"/>
        <v>0</v>
      </c>
      <c r="T9" s="208">
        <f t="shared" si="12"/>
        <v>0</v>
      </c>
      <c r="U9" s="208">
        <f t="shared" si="24"/>
        <v>0</v>
      </c>
      <c r="V9" s="208">
        <f t="shared" si="25"/>
        <v>0</v>
      </c>
      <c r="W9" s="208">
        <f t="shared" si="13"/>
        <v>0</v>
      </c>
      <c r="X9" s="208">
        <f t="shared" si="14"/>
        <v>0</v>
      </c>
      <c r="Y9" s="208">
        <f t="shared" si="15"/>
        <v>0</v>
      </c>
      <c r="Z9" s="208">
        <f t="shared" si="16"/>
        <v>0</v>
      </c>
      <c r="AA9" s="208">
        <f t="shared" si="17"/>
        <v>0</v>
      </c>
      <c r="AB9" s="208">
        <f t="shared" si="18"/>
        <v>0</v>
      </c>
      <c r="AC9" s="208">
        <f t="shared" si="19"/>
        <v>0</v>
      </c>
      <c r="AD9" s="208">
        <f t="shared" si="20"/>
        <v>0</v>
      </c>
      <c r="AE9" s="208">
        <f t="shared" si="21"/>
        <v>0</v>
      </c>
      <c r="AF9" s="208">
        <f t="shared" si="22"/>
        <v>0</v>
      </c>
      <c r="AG9" s="208">
        <f t="shared" si="23"/>
        <v>0</v>
      </c>
      <c r="AH9" s="15">
        <f t="shared" ref="AH9:AH31" si="31">IF($B$3="Fortnightly",IF($AH$6&gt;DATE(2017,12,31),0,IF($D9&gt;$AH$6,$B9*$E9*2,$C9*$E9*2)*$G$7),IF($AH$6&gt;DATE(2017,12,31),IF($AH$6&lt;DATE(2018,1,8),IF($D9&gt;$AH$6,$B9*$E9*2,$C9*$E9*2)*$G$7/2,0),IF($D9&gt;$AH$6,$B9*$E9*2,$C9*$E9*2)*$G$7))</f>
        <v>0</v>
      </c>
      <c r="AI9" s="350">
        <f t="shared" si="26"/>
        <v>0</v>
      </c>
      <c r="AJ9" s="351">
        <f t="shared" si="27"/>
        <v>0</v>
      </c>
      <c r="AK9" s="350">
        <f t="shared" si="28"/>
        <v>0</v>
      </c>
      <c r="AL9" s="350">
        <f t="shared" si="29"/>
        <v>0</v>
      </c>
    </row>
    <row r="10" spans="1:40" x14ac:dyDescent="0.25">
      <c r="A10" s="133" t="s">
        <v>137</v>
      </c>
      <c r="B10" s="141"/>
      <c r="C10" s="134"/>
      <c r="D10" s="144"/>
      <c r="E10" s="135"/>
      <c r="F10" s="149"/>
      <c r="G10" s="136"/>
      <c r="H10" s="208">
        <f t="shared" si="30"/>
        <v>0</v>
      </c>
      <c r="I10" s="208">
        <f t="shared" si="1"/>
        <v>0</v>
      </c>
      <c r="J10" s="208">
        <f t="shared" si="2"/>
        <v>0</v>
      </c>
      <c r="K10" s="208">
        <f t="shared" si="3"/>
        <v>0</v>
      </c>
      <c r="L10" s="208">
        <f t="shared" si="4"/>
        <v>0</v>
      </c>
      <c r="M10" s="208">
        <f t="shared" si="5"/>
        <v>0</v>
      </c>
      <c r="N10" s="208">
        <f t="shared" si="6"/>
        <v>0</v>
      </c>
      <c r="O10" s="208">
        <f t="shared" si="7"/>
        <v>0</v>
      </c>
      <c r="P10" s="208">
        <f t="shared" si="8"/>
        <v>0</v>
      </c>
      <c r="Q10" s="208">
        <f t="shared" si="9"/>
        <v>0</v>
      </c>
      <c r="R10" s="208">
        <f t="shared" si="10"/>
        <v>0</v>
      </c>
      <c r="S10" s="208">
        <f t="shared" si="11"/>
        <v>0</v>
      </c>
      <c r="T10" s="208">
        <f t="shared" si="12"/>
        <v>0</v>
      </c>
      <c r="U10" s="208">
        <f t="shared" si="24"/>
        <v>0</v>
      </c>
      <c r="V10" s="208">
        <f t="shared" si="25"/>
        <v>0</v>
      </c>
      <c r="W10" s="208">
        <f t="shared" si="13"/>
        <v>0</v>
      </c>
      <c r="X10" s="208">
        <f t="shared" si="14"/>
        <v>0</v>
      </c>
      <c r="Y10" s="208">
        <f t="shared" si="15"/>
        <v>0</v>
      </c>
      <c r="Z10" s="208">
        <f t="shared" si="16"/>
        <v>0</v>
      </c>
      <c r="AA10" s="208">
        <f t="shared" si="17"/>
        <v>0</v>
      </c>
      <c r="AB10" s="208">
        <f t="shared" si="18"/>
        <v>0</v>
      </c>
      <c r="AC10" s="208">
        <f t="shared" si="19"/>
        <v>0</v>
      </c>
      <c r="AD10" s="208">
        <f t="shared" si="20"/>
        <v>0</v>
      </c>
      <c r="AE10" s="208">
        <f t="shared" si="21"/>
        <v>0</v>
      </c>
      <c r="AF10" s="208">
        <f t="shared" si="22"/>
        <v>0</v>
      </c>
      <c r="AG10" s="208">
        <f t="shared" si="23"/>
        <v>0</v>
      </c>
      <c r="AH10" s="15">
        <f t="shared" si="31"/>
        <v>0</v>
      </c>
      <c r="AI10" s="350">
        <f t="shared" si="26"/>
        <v>0</v>
      </c>
      <c r="AJ10" s="351">
        <f t="shared" si="27"/>
        <v>0</v>
      </c>
      <c r="AK10" s="350">
        <f t="shared" si="28"/>
        <v>0</v>
      </c>
      <c r="AL10" s="350">
        <f t="shared" si="29"/>
        <v>0</v>
      </c>
    </row>
    <row r="11" spans="1:40" x14ac:dyDescent="0.25">
      <c r="A11" s="133" t="s">
        <v>138</v>
      </c>
      <c r="B11" s="141"/>
      <c r="C11" s="134"/>
      <c r="D11" s="144"/>
      <c r="E11" s="135"/>
      <c r="F11" s="149"/>
      <c r="G11" s="136"/>
      <c r="H11" s="208">
        <f t="shared" si="30"/>
        <v>0</v>
      </c>
      <c r="I11" s="208">
        <f t="shared" si="1"/>
        <v>0</v>
      </c>
      <c r="J11" s="208">
        <f t="shared" si="2"/>
        <v>0</v>
      </c>
      <c r="K11" s="208">
        <f t="shared" si="3"/>
        <v>0</v>
      </c>
      <c r="L11" s="208">
        <f t="shared" si="4"/>
        <v>0</v>
      </c>
      <c r="M11" s="208">
        <f t="shared" si="5"/>
        <v>0</v>
      </c>
      <c r="N11" s="208">
        <f t="shared" si="6"/>
        <v>0</v>
      </c>
      <c r="O11" s="208">
        <f t="shared" si="7"/>
        <v>0</v>
      </c>
      <c r="P11" s="208">
        <f t="shared" si="8"/>
        <v>0</v>
      </c>
      <c r="Q11" s="208">
        <f t="shared" si="9"/>
        <v>0</v>
      </c>
      <c r="R11" s="208">
        <f t="shared" si="10"/>
        <v>0</v>
      </c>
      <c r="S11" s="208">
        <f t="shared" si="11"/>
        <v>0</v>
      </c>
      <c r="T11" s="208">
        <f t="shared" si="12"/>
        <v>0</v>
      </c>
      <c r="U11" s="208">
        <f t="shared" si="24"/>
        <v>0</v>
      </c>
      <c r="V11" s="208">
        <f t="shared" si="25"/>
        <v>0</v>
      </c>
      <c r="W11" s="208">
        <f t="shared" si="13"/>
        <v>0</v>
      </c>
      <c r="X11" s="208">
        <f t="shared" si="14"/>
        <v>0</v>
      </c>
      <c r="Y11" s="208">
        <f t="shared" si="15"/>
        <v>0</v>
      </c>
      <c r="Z11" s="208">
        <f t="shared" si="16"/>
        <v>0</v>
      </c>
      <c r="AA11" s="208">
        <f t="shared" si="17"/>
        <v>0</v>
      </c>
      <c r="AB11" s="208">
        <f t="shared" si="18"/>
        <v>0</v>
      </c>
      <c r="AC11" s="208">
        <f t="shared" si="19"/>
        <v>0</v>
      </c>
      <c r="AD11" s="208">
        <f t="shared" si="20"/>
        <v>0</v>
      </c>
      <c r="AE11" s="208">
        <f t="shared" si="21"/>
        <v>0</v>
      </c>
      <c r="AF11" s="208">
        <f t="shared" si="22"/>
        <v>0</v>
      </c>
      <c r="AG11" s="208">
        <f t="shared" si="23"/>
        <v>0</v>
      </c>
      <c r="AH11" s="15">
        <f t="shared" si="31"/>
        <v>0</v>
      </c>
      <c r="AI11" s="350">
        <f t="shared" si="26"/>
        <v>0</v>
      </c>
      <c r="AJ11" s="351">
        <f t="shared" si="27"/>
        <v>0</v>
      </c>
      <c r="AK11" s="350">
        <f t="shared" si="28"/>
        <v>0</v>
      </c>
      <c r="AL11" s="350">
        <f t="shared" si="29"/>
        <v>0</v>
      </c>
    </row>
    <row r="12" spans="1:40" x14ac:dyDescent="0.25">
      <c r="A12" s="133" t="s">
        <v>139</v>
      </c>
      <c r="B12" s="141"/>
      <c r="C12" s="134"/>
      <c r="D12" s="144"/>
      <c r="E12" s="135"/>
      <c r="F12" s="149"/>
      <c r="G12" s="136"/>
      <c r="H12" s="208">
        <f t="shared" si="30"/>
        <v>0</v>
      </c>
      <c r="I12" s="208">
        <f t="shared" si="1"/>
        <v>0</v>
      </c>
      <c r="J12" s="208">
        <f t="shared" si="2"/>
        <v>0</v>
      </c>
      <c r="K12" s="208">
        <f t="shared" si="3"/>
        <v>0</v>
      </c>
      <c r="L12" s="208">
        <f t="shared" si="4"/>
        <v>0</v>
      </c>
      <c r="M12" s="208">
        <f t="shared" si="5"/>
        <v>0</v>
      </c>
      <c r="N12" s="208">
        <f t="shared" si="6"/>
        <v>0</v>
      </c>
      <c r="O12" s="208">
        <f t="shared" si="7"/>
        <v>0</v>
      </c>
      <c r="P12" s="208">
        <f t="shared" si="8"/>
        <v>0</v>
      </c>
      <c r="Q12" s="208">
        <f t="shared" si="9"/>
        <v>0</v>
      </c>
      <c r="R12" s="208">
        <f t="shared" si="10"/>
        <v>0</v>
      </c>
      <c r="S12" s="208">
        <f t="shared" si="11"/>
        <v>0</v>
      </c>
      <c r="T12" s="208">
        <f t="shared" si="12"/>
        <v>0</v>
      </c>
      <c r="U12" s="208">
        <f t="shared" si="24"/>
        <v>0</v>
      </c>
      <c r="V12" s="208">
        <f t="shared" si="25"/>
        <v>0</v>
      </c>
      <c r="W12" s="208">
        <f t="shared" si="13"/>
        <v>0</v>
      </c>
      <c r="X12" s="208">
        <f t="shared" si="14"/>
        <v>0</v>
      </c>
      <c r="Y12" s="208">
        <f t="shared" si="15"/>
        <v>0</v>
      </c>
      <c r="Z12" s="208">
        <f t="shared" si="16"/>
        <v>0</v>
      </c>
      <c r="AA12" s="208">
        <f t="shared" si="17"/>
        <v>0</v>
      </c>
      <c r="AB12" s="208">
        <f t="shared" si="18"/>
        <v>0</v>
      </c>
      <c r="AC12" s="208">
        <f t="shared" si="19"/>
        <v>0</v>
      </c>
      <c r="AD12" s="208">
        <f t="shared" si="20"/>
        <v>0</v>
      </c>
      <c r="AE12" s="208">
        <f t="shared" si="21"/>
        <v>0</v>
      </c>
      <c r="AF12" s="208">
        <f t="shared" si="22"/>
        <v>0</v>
      </c>
      <c r="AG12" s="208">
        <f t="shared" si="23"/>
        <v>0</v>
      </c>
      <c r="AH12" s="15">
        <f t="shared" si="31"/>
        <v>0</v>
      </c>
      <c r="AI12" s="350">
        <f t="shared" si="26"/>
        <v>0</v>
      </c>
      <c r="AJ12" s="351">
        <f t="shared" si="27"/>
        <v>0</v>
      </c>
      <c r="AK12" s="350">
        <f t="shared" si="28"/>
        <v>0</v>
      </c>
      <c r="AL12" s="350">
        <f t="shared" si="29"/>
        <v>0</v>
      </c>
    </row>
    <row r="13" spans="1:40" x14ac:dyDescent="0.25">
      <c r="A13" s="133" t="s">
        <v>140</v>
      </c>
      <c r="B13" s="141"/>
      <c r="C13" s="134"/>
      <c r="D13" s="144"/>
      <c r="E13" s="135"/>
      <c r="F13" s="149"/>
      <c r="G13" s="136"/>
      <c r="H13" s="208">
        <f t="shared" si="30"/>
        <v>0</v>
      </c>
      <c r="I13" s="208">
        <f t="shared" si="1"/>
        <v>0</v>
      </c>
      <c r="J13" s="208">
        <f t="shared" si="2"/>
        <v>0</v>
      </c>
      <c r="K13" s="208">
        <f t="shared" si="3"/>
        <v>0</v>
      </c>
      <c r="L13" s="208">
        <f t="shared" si="4"/>
        <v>0</v>
      </c>
      <c r="M13" s="208">
        <f t="shared" si="5"/>
        <v>0</v>
      </c>
      <c r="N13" s="208">
        <f t="shared" si="6"/>
        <v>0</v>
      </c>
      <c r="O13" s="208">
        <f t="shared" si="7"/>
        <v>0</v>
      </c>
      <c r="P13" s="208">
        <f t="shared" si="8"/>
        <v>0</v>
      </c>
      <c r="Q13" s="208">
        <f t="shared" si="9"/>
        <v>0</v>
      </c>
      <c r="R13" s="208">
        <f t="shared" si="10"/>
        <v>0</v>
      </c>
      <c r="S13" s="208">
        <f t="shared" si="11"/>
        <v>0</v>
      </c>
      <c r="T13" s="208">
        <f t="shared" si="12"/>
        <v>0</v>
      </c>
      <c r="U13" s="208">
        <f t="shared" si="24"/>
        <v>0</v>
      </c>
      <c r="V13" s="208">
        <f t="shared" si="25"/>
        <v>0</v>
      </c>
      <c r="W13" s="208">
        <f t="shared" si="13"/>
        <v>0</v>
      </c>
      <c r="X13" s="208">
        <f t="shared" si="14"/>
        <v>0</v>
      </c>
      <c r="Y13" s="208">
        <f t="shared" si="15"/>
        <v>0</v>
      </c>
      <c r="Z13" s="208">
        <f t="shared" si="16"/>
        <v>0</v>
      </c>
      <c r="AA13" s="208">
        <f t="shared" si="17"/>
        <v>0</v>
      </c>
      <c r="AB13" s="208">
        <f t="shared" si="18"/>
        <v>0</v>
      </c>
      <c r="AC13" s="208">
        <f t="shared" si="19"/>
        <v>0</v>
      </c>
      <c r="AD13" s="208">
        <f t="shared" si="20"/>
        <v>0</v>
      </c>
      <c r="AE13" s="208">
        <f t="shared" si="21"/>
        <v>0</v>
      </c>
      <c r="AF13" s="208">
        <f t="shared" si="22"/>
        <v>0</v>
      </c>
      <c r="AG13" s="208">
        <f t="shared" si="23"/>
        <v>0</v>
      </c>
      <c r="AH13" s="15">
        <f t="shared" si="31"/>
        <v>0</v>
      </c>
      <c r="AI13" s="350">
        <f t="shared" si="26"/>
        <v>0</v>
      </c>
      <c r="AJ13" s="351">
        <f t="shared" si="27"/>
        <v>0</v>
      </c>
      <c r="AK13" s="350">
        <f t="shared" si="28"/>
        <v>0</v>
      </c>
      <c r="AL13" s="350">
        <f t="shared" si="29"/>
        <v>0</v>
      </c>
    </row>
    <row r="14" spans="1:40" x14ac:dyDescent="0.25">
      <c r="A14" s="133" t="s">
        <v>114</v>
      </c>
      <c r="B14" s="141"/>
      <c r="C14" s="134"/>
      <c r="D14" s="144"/>
      <c r="E14" s="135"/>
      <c r="F14" s="149"/>
      <c r="G14" s="136"/>
      <c r="H14" s="208">
        <f t="shared" si="30"/>
        <v>0</v>
      </c>
      <c r="I14" s="208">
        <f t="shared" si="1"/>
        <v>0</v>
      </c>
      <c r="J14" s="208">
        <f t="shared" si="2"/>
        <v>0</v>
      </c>
      <c r="K14" s="208">
        <f t="shared" si="3"/>
        <v>0</v>
      </c>
      <c r="L14" s="208">
        <f t="shared" si="4"/>
        <v>0</v>
      </c>
      <c r="M14" s="208">
        <f t="shared" si="5"/>
        <v>0</v>
      </c>
      <c r="N14" s="208">
        <f t="shared" si="6"/>
        <v>0</v>
      </c>
      <c r="O14" s="208">
        <f t="shared" si="7"/>
        <v>0</v>
      </c>
      <c r="P14" s="208">
        <f t="shared" si="8"/>
        <v>0</v>
      </c>
      <c r="Q14" s="208">
        <f t="shared" si="9"/>
        <v>0</v>
      </c>
      <c r="R14" s="208">
        <f t="shared" si="10"/>
        <v>0</v>
      </c>
      <c r="S14" s="208">
        <f t="shared" si="11"/>
        <v>0</v>
      </c>
      <c r="T14" s="208">
        <f t="shared" si="12"/>
        <v>0</v>
      </c>
      <c r="U14" s="208">
        <f t="shared" si="24"/>
        <v>0</v>
      </c>
      <c r="V14" s="208">
        <f t="shared" si="25"/>
        <v>0</v>
      </c>
      <c r="W14" s="208">
        <f t="shared" si="13"/>
        <v>0</v>
      </c>
      <c r="X14" s="208">
        <f t="shared" si="14"/>
        <v>0</v>
      </c>
      <c r="Y14" s="208">
        <f t="shared" si="15"/>
        <v>0</v>
      </c>
      <c r="Z14" s="208">
        <f t="shared" si="16"/>
        <v>0</v>
      </c>
      <c r="AA14" s="208">
        <f t="shared" si="17"/>
        <v>0</v>
      </c>
      <c r="AB14" s="208">
        <f t="shared" si="18"/>
        <v>0</v>
      </c>
      <c r="AC14" s="208">
        <f t="shared" si="19"/>
        <v>0</v>
      </c>
      <c r="AD14" s="208">
        <f t="shared" si="20"/>
        <v>0</v>
      </c>
      <c r="AE14" s="208">
        <f t="shared" si="21"/>
        <v>0</v>
      </c>
      <c r="AF14" s="208">
        <f t="shared" si="22"/>
        <v>0</v>
      </c>
      <c r="AG14" s="208">
        <f t="shared" si="23"/>
        <v>0</v>
      </c>
      <c r="AH14" s="15">
        <f t="shared" si="31"/>
        <v>0</v>
      </c>
      <c r="AI14" s="350">
        <f t="shared" si="26"/>
        <v>0</v>
      </c>
      <c r="AJ14" s="351">
        <f t="shared" si="27"/>
        <v>0</v>
      </c>
      <c r="AK14" s="350">
        <f t="shared" si="28"/>
        <v>0</v>
      </c>
      <c r="AL14" s="350">
        <f t="shared" si="29"/>
        <v>0</v>
      </c>
    </row>
    <row r="15" spans="1:40" x14ac:dyDescent="0.25">
      <c r="A15" s="133" t="s">
        <v>115</v>
      </c>
      <c r="B15" s="141"/>
      <c r="C15" s="134"/>
      <c r="D15" s="144"/>
      <c r="E15" s="135"/>
      <c r="F15" s="149"/>
      <c r="G15" s="136"/>
      <c r="H15" s="208">
        <f t="shared" si="30"/>
        <v>0</v>
      </c>
      <c r="I15" s="208">
        <f t="shared" si="1"/>
        <v>0</v>
      </c>
      <c r="J15" s="208">
        <f t="shared" si="2"/>
        <v>0</v>
      </c>
      <c r="K15" s="208">
        <f t="shared" si="3"/>
        <v>0</v>
      </c>
      <c r="L15" s="208">
        <f t="shared" si="4"/>
        <v>0</v>
      </c>
      <c r="M15" s="208">
        <f t="shared" si="5"/>
        <v>0</v>
      </c>
      <c r="N15" s="208">
        <f t="shared" si="6"/>
        <v>0</v>
      </c>
      <c r="O15" s="208">
        <f t="shared" si="7"/>
        <v>0</v>
      </c>
      <c r="P15" s="208">
        <f t="shared" si="8"/>
        <v>0</v>
      </c>
      <c r="Q15" s="208">
        <f t="shared" si="9"/>
        <v>0</v>
      </c>
      <c r="R15" s="208">
        <f t="shared" si="10"/>
        <v>0</v>
      </c>
      <c r="S15" s="208">
        <f t="shared" si="11"/>
        <v>0</v>
      </c>
      <c r="T15" s="208">
        <f t="shared" si="12"/>
        <v>0</v>
      </c>
      <c r="U15" s="208">
        <f t="shared" si="24"/>
        <v>0</v>
      </c>
      <c r="V15" s="208">
        <f t="shared" si="25"/>
        <v>0</v>
      </c>
      <c r="W15" s="208">
        <f t="shared" si="13"/>
        <v>0</v>
      </c>
      <c r="X15" s="208">
        <f t="shared" si="14"/>
        <v>0</v>
      </c>
      <c r="Y15" s="208">
        <f t="shared" si="15"/>
        <v>0</v>
      </c>
      <c r="Z15" s="208">
        <f t="shared" si="16"/>
        <v>0</v>
      </c>
      <c r="AA15" s="208">
        <f t="shared" si="17"/>
        <v>0</v>
      </c>
      <c r="AB15" s="208">
        <f t="shared" si="18"/>
        <v>0</v>
      </c>
      <c r="AC15" s="208">
        <f t="shared" si="19"/>
        <v>0</v>
      </c>
      <c r="AD15" s="208">
        <f t="shared" si="20"/>
        <v>0</v>
      </c>
      <c r="AE15" s="208">
        <f t="shared" si="21"/>
        <v>0</v>
      </c>
      <c r="AF15" s="208">
        <f t="shared" si="22"/>
        <v>0</v>
      </c>
      <c r="AG15" s="208">
        <f t="shared" si="23"/>
        <v>0</v>
      </c>
      <c r="AH15" s="15">
        <f t="shared" si="31"/>
        <v>0</v>
      </c>
      <c r="AI15" s="350">
        <f t="shared" si="26"/>
        <v>0</v>
      </c>
      <c r="AJ15" s="351">
        <f t="shared" si="27"/>
        <v>0</v>
      </c>
      <c r="AK15" s="350">
        <f t="shared" si="28"/>
        <v>0</v>
      </c>
      <c r="AL15" s="350">
        <f t="shared" si="29"/>
        <v>0</v>
      </c>
    </row>
    <row r="16" spans="1:40" x14ac:dyDescent="0.25">
      <c r="A16" s="133" t="s">
        <v>116</v>
      </c>
      <c r="B16" s="141"/>
      <c r="C16" s="134"/>
      <c r="D16" s="144"/>
      <c r="E16" s="135"/>
      <c r="F16" s="149"/>
      <c r="G16" s="136"/>
      <c r="H16" s="208">
        <f t="shared" si="30"/>
        <v>0</v>
      </c>
      <c r="I16" s="208">
        <f t="shared" si="1"/>
        <v>0</v>
      </c>
      <c r="J16" s="208">
        <f t="shared" si="2"/>
        <v>0</v>
      </c>
      <c r="K16" s="208">
        <f t="shared" si="3"/>
        <v>0</v>
      </c>
      <c r="L16" s="208">
        <f t="shared" si="4"/>
        <v>0</v>
      </c>
      <c r="M16" s="208">
        <f t="shared" si="5"/>
        <v>0</v>
      </c>
      <c r="N16" s="208">
        <f t="shared" si="6"/>
        <v>0</v>
      </c>
      <c r="O16" s="208">
        <f t="shared" si="7"/>
        <v>0</v>
      </c>
      <c r="P16" s="208">
        <f t="shared" si="8"/>
        <v>0</v>
      </c>
      <c r="Q16" s="208">
        <f t="shared" si="9"/>
        <v>0</v>
      </c>
      <c r="R16" s="208">
        <f t="shared" si="10"/>
        <v>0</v>
      </c>
      <c r="S16" s="208">
        <f t="shared" si="11"/>
        <v>0</v>
      </c>
      <c r="T16" s="208">
        <f t="shared" si="12"/>
        <v>0</v>
      </c>
      <c r="U16" s="208">
        <f t="shared" si="24"/>
        <v>0</v>
      </c>
      <c r="V16" s="208">
        <f t="shared" si="25"/>
        <v>0</v>
      </c>
      <c r="W16" s="208">
        <f t="shared" si="13"/>
        <v>0</v>
      </c>
      <c r="X16" s="208">
        <f t="shared" si="14"/>
        <v>0</v>
      </c>
      <c r="Y16" s="208">
        <f t="shared" si="15"/>
        <v>0</v>
      </c>
      <c r="Z16" s="208">
        <f t="shared" si="16"/>
        <v>0</v>
      </c>
      <c r="AA16" s="208">
        <f t="shared" si="17"/>
        <v>0</v>
      </c>
      <c r="AB16" s="208">
        <f t="shared" si="18"/>
        <v>0</v>
      </c>
      <c r="AC16" s="208">
        <f t="shared" si="19"/>
        <v>0</v>
      </c>
      <c r="AD16" s="208">
        <f t="shared" si="20"/>
        <v>0</v>
      </c>
      <c r="AE16" s="208">
        <f t="shared" si="21"/>
        <v>0</v>
      </c>
      <c r="AF16" s="208">
        <f t="shared" si="22"/>
        <v>0</v>
      </c>
      <c r="AG16" s="208">
        <f t="shared" si="23"/>
        <v>0</v>
      </c>
      <c r="AH16" s="15">
        <f t="shared" si="31"/>
        <v>0</v>
      </c>
      <c r="AI16" s="350">
        <f t="shared" si="26"/>
        <v>0</v>
      </c>
      <c r="AJ16" s="351">
        <f t="shared" si="27"/>
        <v>0</v>
      </c>
      <c r="AK16" s="350">
        <f t="shared" si="28"/>
        <v>0</v>
      </c>
      <c r="AL16" s="350">
        <f t="shared" si="29"/>
        <v>0</v>
      </c>
    </row>
    <row r="17" spans="1:38" x14ac:dyDescent="0.25">
      <c r="A17" s="133" t="s">
        <v>117</v>
      </c>
      <c r="B17" s="141"/>
      <c r="C17" s="134"/>
      <c r="D17" s="144"/>
      <c r="E17" s="135"/>
      <c r="F17" s="149"/>
      <c r="G17" s="136"/>
      <c r="H17" s="208">
        <f t="shared" si="30"/>
        <v>0</v>
      </c>
      <c r="I17" s="208">
        <f t="shared" si="1"/>
        <v>0</v>
      </c>
      <c r="J17" s="208">
        <f t="shared" si="2"/>
        <v>0</v>
      </c>
      <c r="K17" s="208">
        <f t="shared" si="3"/>
        <v>0</v>
      </c>
      <c r="L17" s="208">
        <f t="shared" si="4"/>
        <v>0</v>
      </c>
      <c r="M17" s="208">
        <f t="shared" si="5"/>
        <v>0</v>
      </c>
      <c r="N17" s="208">
        <f t="shared" si="6"/>
        <v>0</v>
      </c>
      <c r="O17" s="208">
        <f t="shared" si="7"/>
        <v>0</v>
      </c>
      <c r="P17" s="208">
        <f t="shared" si="8"/>
        <v>0</v>
      </c>
      <c r="Q17" s="208">
        <f t="shared" si="9"/>
        <v>0</v>
      </c>
      <c r="R17" s="208">
        <f t="shared" si="10"/>
        <v>0</v>
      </c>
      <c r="S17" s="208">
        <f t="shared" si="11"/>
        <v>0</v>
      </c>
      <c r="T17" s="208">
        <f t="shared" si="12"/>
        <v>0</v>
      </c>
      <c r="U17" s="208">
        <f t="shared" si="24"/>
        <v>0</v>
      </c>
      <c r="V17" s="208">
        <f t="shared" si="25"/>
        <v>0</v>
      </c>
      <c r="W17" s="208">
        <f t="shared" si="13"/>
        <v>0</v>
      </c>
      <c r="X17" s="208">
        <f t="shared" si="14"/>
        <v>0</v>
      </c>
      <c r="Y17" s="208">
        <f t="shared" si="15"/>
        <v>0</v>
      </c>
      <c r="Z17" s="208">
        <f t="shared" si="16"/>
        <v>0</v>
      </c>
      <c r="AA17" s="208">
        <f t="shared" si="17"/>
        <v>0</v>
      </c>
      <c r="AB17" s="208">
        <f t="shared" si="18"/>
        <v>0</v>
      </c>
      <c r="AC17" s="208">
        <f t="shared" si="19"/>
        <v>0</v>
      </c>
      <c r="AD17" s="208">
        <f t="shared" si="20"/>
        <v>0</v>
      </c>
      <c r="AE17" s="208">
        <f t="shared" si="21"/>
        <v>0</v>
      </c>
      <c r="AF17" s="208">
        <f t="shared" si="22"/>
        <v>0</v>
      </c>
      <c r="AG17" s="208">
        <f t="shared" si="23"/>
        <v>0</v>
      </c>
      <c r="AH17" s="15">
        <f t="shared" si="31"/>
        <v>0</v>
      </c>
      <c r="AI17" s="350">
        <f t="shared" si="26"/>
        <v>0</v>
      </c>
      <c r="AJ17" s="351">
        <f t="shared" si="27"/>
        <v>0</v>
      </c>
      <c r="AK17" s="350">
        <f t="shared" si="28"/>
        <v>0</v>
      </c>
      <c r="AL17" s="350">
        <f t="shared" si="29"/>
        <v>0</v>
      </c>
    </row>
    <row r="18" spans="1:38" x14ac:dyDescent="0.25">
      <c r="A18" s="133" t="s">
        <v>118</v>
      </c>
      <c r="B18" s="141"/>
      <c r="C18" s="134"/>
      <c r="D18" s="144"/>
      <c r="E18" s="135"/>
      <c r="F18" s="149"/>
      <c r="G18" s="136"/>
      <c r="H18" s="208">
        <f t="shared" si="30"/>
        <v>0</v>
      </c>
      <c r="I18" s="208">
        <f t="shared" si="1"/>
        <v>0</v>
      </c>
      <c r="J18" s="208">
        <f t="shared" si="2"/>
        <v>0</v>
      </c>
      <c r="K18" s="208">
        <f t="shared" si="3"/>
        <v>0</v>
      </c>
      <c r="L18" s="208">
        <f t="shared" si="4"/>
        <v>0</v>
      </c>
      <c r="M18" s="208">
        <f t="shared" si="5"/>
        <v>0</v>
      </c>
      <c r="N18" s="208">
        <f t="shared" si="6"/>
        <v>0</v>
      </c>
      <c r="O18" s="208">
        <f t="shared" si="7"/>
        <v>0</v>
      </c>
      <c r="P18" s="208">
        <f t="shared" si="8"/>
        <v>0</v>
      </c>
      <c r="Q18" s="208">
        <f t="shared" si="9"/>
        <v>0</v>
      </c>
      <c r="R18" s="208">
        <f t="shared" si="10"/>
        <v>0</v>
      </c>
      <c r="S18" s="208">
        <f t="shared" si="11"/>
        <v>0</v>
      </c>
      <c r="T18" s="208">
        <f t="shared" si="12"/>
        <v>0</v>
      </c>
      <c r="U18" s="208">
        <f t="shared" si="24"/>
        <v>0</v>
      </c>
      <c r="V18" s="208">
        <f t="shared" si="25"/>
        <v>0</v>
      </c>
      <c r="W18" s="208">
        <f t="shared" si="13"/>
        <v>0</v>
      </c>
      <c r="X18" s="208">
        <f t="shared" si="14"/>
        <v>0</v>
      </c>
      <c r="Y18" s="208">
        <f t="shared" si="15"/>
        <v>0</v>
      </c>
      <c r="Z18" s="208">
        <f t="shared" si="16"/>
        <v>0</v>
      </c>
      <c r="AA18" s="208">
        <f t="shared" si="17"/>
        <v>0</v>
      </c>
      <c r="AB18" s="208">
        <f t="shared" si="18"/>
        <v>0</v>
      </c>
      <c r="AC18" s="208">
        <f t="shared" si="19"/>
        <v>0</v>
      </c>
      <c r="AD18" s="208">
        <f t="shared" si="20"/>
        <v>0</v>
      </c>
      <c r="AE18" s="208">
        <f t="shared" si="21"/>
        <v>0</v>
      </c>
      <c r="AF18" s="208">
        <f t="shared" si="22"/>
        <v>0</v>
      </c>
      <c r="AG18" s="208">
        <f t="shared" si="23"/>
        <v>0</v>
      </c>
      <c r="AH18" s="15">
        <f t="shared" si="31"/>
        <v>0</v>
      </c>
      <c r="AI18" s="350">
        <f t="shared" si="26"/>
        <v>0</v>
      </c>
      <c r="AJ18" s="351">
        <f t="shared" si="27"/>
        <v>0</v>
      </c>
      <c r="AK18" s="350">
        <f t="shared" si="28"/>
        <v>0</v>
      </c>
      <c r="AL18" s="350">
        <f t="shared" si="29"/>
        <v>0</v>
      </c>
    </row>
    <row r="19" spans="1:38" x14ac:dyDescent="0.25">
      <c r="A19" s="133" t="s">
        <v>88</v>
      </c>
      <c r="B19" s="141"/>
      <c r="C19" s="134"/>
      <c r="D19" s="144"/>
      <c r="E19" s="135"/>
      <c r="F19" s="149"/>
      <c r="G19" s="136"/>
      <c r="H19" s="208">
        <f t="shared" si="30"/>
        <v>0</v>
      </c>
      <c r="I19" s="208">
        <f t="shared" si="1"/>
        <v>0</v>
      </c>
      <c r="J19" s="208">
        <f t="shared" si="2"/>
        <v>0</v>
      </c>
      <c r="K19" s="208">
        <f t="shared" si="3"/>
        <v>0</v>
      </c>
      <c r="L19" s="208">
        <f t="shared" si="4"/>
        <v>0</v>
      </c>
      <c r="M19" s="208">
        <f t="shared" si="5"/>
        <v>0</v>
      </c>
      <c r="N19" s="208">
        <f t="shared" si="6"/>
        <v>0</v>
      </c>
      <c r="O19" s="208">
        <f t="shared" si="7"/>
        <v>0</v>
      </c>
      <c r="P19" s="208">
        <f t="shared" si="8"/>
        <v>0</v>
      </c>
      <c r="Q19" s="208">
        <f t="shared" si="9"/>
        <v>0</v>
      </c>
      <c r="R19" s="208">
        <f t="shared" si="10"/>
        <v>0</v>
      </c>
      <c r="S19" s="208">
        <f t="shared" si="11"/>
        <v>0</v>
      </c>
      <c r="T19" s="208">
        <f t="shared" si="12"/>
        <v>0</v>
      </c>
      <c r="U19" s="208">
        <f t="shared" si="24"/>
        <v>0</v>
      </c>
      <c r="V19" s="208">
        <f t="shared" si="25"/>
        <v>0</v>
      </c>
      <c r="W19" s="208">
        <f t="shared" si="13"/>
        <v>0</v>
      </c>
      <c r="X19" s="208">
        <f t="shared" si="14"/>
        <v>0</v>
      </c>
      <c r="Y19" s="208">
        <f t="shared" si="15"/>
        <v>0</v>
      </c>
      <c r="Z19" s="208">
        <f t="shared" si="16"/>
        <v>0</v>
      </c>
      <c r="AA19" s="208">
        <f t="shared" si="17"/>
        <v>0</v>
      </c>
      <c r="AB19" s="208">
        <f t="shared" si="18"/>
        <v>0</v>
      </c>
      <c r="AC19" s="208">
        <f t="shared" si="19"/>
        <v>0</v>
      </c>
      <c r="AD19" s="208">
        <f t="shared" si="20"/>
        <v>0</v>
      </c>
      <c r="AE19" s="208">
        <f t="shared" si="21"/>
        <v>0</v>
      </c>
      <c r="AF19" s="208">
        <f t="shared" si="22"/>
        <v>0</v>
      </c>
      <c r="AG19" s="208">
        <f t="shared" si="23"/>
        <v>0</v>
      </c>
      <c r="AH19" s="15">
        <f t="shared" si="31"/>
        <v>0</v>
      </c>
      <c r="AI19" s="350">
        <f t="shared" si="26"/>
        <v>0</v>
      </c>
      <c r="AJ19" s="351">
        <f t="shared" si="27"/>
        <v>0</v>
      </c>
      <c r="AK19" s="350">
        <f t="shared" si="28"/>
        <v>0</v>
      </c>
      <c r="AL19" s="350">
        <f t="shared" si="29"/>
        <v>0</v>
      </c>
    </row>
    <row r="20" spans="1:38" x14ac:dyDescent="0.25">
      <c r="A20" s="133" t="s">
        <v>90</v>
      </c>
      <c r="B20" s="141"/>
      <c r="C20" s="134"/>
      <c r="D20" s="144"/>
      <c r="E20" s="135"/>
      <c r="F20" s="149"/>
      <c r="G20" s="136"/>
      <c r="H20" s="208">
        <f t="shared" si="30"/>
        <v>0</v>
      </c>
      <c r="I20" s="208">
        <f t="shared" si="1"/>
        <v>0</v>
      </c>
      <c r="J20" s="208">
        <f t="shared" si="2"/>
        <v>0</v>
      </c>
      <c r="K20" s="208">
        <f t="shared" si="3"/>
        <v>0</v>
      </c>
      <c r="L20" s="208">
        <f t="shared" si="4"/>
        <v>0</v>
      </c>
      <c r="M20" s="208">
        <f t="shared" si="5"/>
        <v>0</v>
      </c>
      <c r="N20" s="208">
        <f t="shared" si="6"/>
        <v>0</v>
      </c>
      <c r="O20" s="208">
        <f t="shared" si="7"/>
        <v>0</v>
      </c>
      <c r="P20" s="208">
        <f t="shared" si="8"/>
        <v>0</v>
      </c>
      <c r="Q20" s="208">
        <f t="shared" si="9"/>
        <v>0</v>
      </c>
      <c r="R20" s="208">
        <f t="shared" si="10"/>
        <v>0</v>
      </c>
      <c r="S20" s="208">
        <f t="shared" si="11"/>
        <v>0</v>
      </c>
      <c r="T20" s="208">
        <f t="shared" si="12"/>
        <v>0</v>
      </c>
      <c r="U20" s="208">
        <f t="shared" si="24"/>
        <v>0</v>
      </c>
      <c r="V20" s="208">
        <f t="shared" si="25"/>
        <v>0</v>
      </c>
      <c r="W20" s="208">
        <f t="shared" si="13"/>
        <v>0</v>
      </c>
      <c r="X20" s="208">
        <f t="shared" si="14"/>
        <v>0</v>
      </c>
      <c r="Y20" s="208">
        <f t="shared" si="15"/>
        <v>0</v>
      </c>
      <c r="Z20" s="208">
        <f t="shared" si="16"/>
        <v>0</v>
      </c>
      <c r="AA20" s="208">
        <f t="shared" si="17"/>
        <v>0</v>
      </c>
      <c r="AB20" s="208">
        <f t="shared" si="18"/>
        <v>0</v>
      </c>
      <c r="AC20" s="208">
        <f t="shared" si="19"/>
        <v>0</v>
      </c>
      <c r="AD20" s="208">
        <f t="shared" si="20"/>
        <v>0</v>
      </c>
      <c r="AE20" s="208">
        <f t="shared" si="21"/>
        <v>0</v>
      </c>
      <c r="AF20" s="208">
        <f t="shared" si="22"/>
        <v>0</v>
      </c>
      <c r="AG20" s="208">
        <f t="shared" si="23"/>
        <v>0</v>
      </c>
      <c r="AH20" s="15">
        <f t="shared" si="31"/>
        <v>0</v>
      </c>
      <c r="AI20" s="350">
        <f t="shared" si="26"/>
        <v>0</v>
      </c>
      <c r="AJ20" s="351">
        <f t="shared" si="27"/>
        <v>0</v>
      </c>
      <c r="AK20" s="350">
        <f t="shared" si="28"/>
        <v>0</v>
      </c>
      <c r="AL20" s="350">
        <f t="shared" si="29"/>
        <v>0</v>
      </c>
    </row>
    <row r="21" spans="1:38" x14ac:dyDescent="0.25">
      <c r="A21" s="133" t="s">
        <v>89</v>
      </c>
      <c r="B21" s="141"/>
      <c r="C21" s="134"/>
      <c r="D21" s="144"/>
      <c r="E21" s="135"/>
      <c r="F21" s="149"/>
      <c r="G21" s="136"/>
      <c r="H21" s="208">
        <f t="shared" si="30"/>
        <v>0</v>
      </c>
      <c r="I21" s="208">
        <f t="shared" si="1"/>
        <v>0</v>
      </c>
      <c r="J21" s="208">
        <f t="shared" si="2"/>
        <v>0</v>
      </c>
      <c r="K21" s="208">
        <f t="shared" si="3"/>
        <v>0</v>
      </c>
      <c r="L21" s="208">
        <f t="shared" si="4"/>
        <v>0</v>
      </c>
      <c r="M21" s="208">
        <f t="shared" si="5"/>
        <v>0</v>
      </c>
      <c r="N21" s="208">
        <f t="shared" si="6"/>
        <v>0</v>
      </c>
      <c r="O21" s="208">
        <f t="shared" si="7"/>
        <v>0</v>
      </c>
      <c r="P21" s="208">
        <f t="shared" si="8"/>
        <v>0</v>
      </c>
      <c r="Q21" s="208">
        <f t="shared" si="9"/>
        <v>0</v>
      </c>
      <c r="R21" s="208">
        <f t="shared" si="10"/>
        <v>0</v>
      </c>
      <c r="S21" s="208">
        <f t="shared" si="11"/>
        <v>0</v>
      </c>
      <c r="T21" s="208">
        <f t="shared" si="12"/>
        <v>0</v>
      </c>
      <c r="U21" s="208">
        <f t="shared" si="24"/>
        <v>0</v>
      </c>
      <c r="V21" s="208">
        <f t="shared" si="25"/>
        <v>0</v>
      </c>
      <c r="W21" s="208">
        <f t="shared" si="13"/>
        <v>0</v>
      </c>
      <c r="X21" s="208">
        <f t="shared" si="14"/>
        <v>0</v>
      </c>
      <c r="Y21" s="208">
        <f t="shared" si="15"/>
        <v>0</v>
      </c>
      <c r="Z21" s="208">
        <f t="shared" si="16"/>
        <v>0</v>
      </c>
      <c r="AA21" s="208">
        <f t="shared" si="17"/>
        <v>0</v>
      </c>
      <c r="AB21" s="208">
        <f t="shared" si="18"/>
        <v>0</v>
      </c>
      <c r="AC21" s="208">
        <f t="shared" si="19"/>
        <v>0</v>
      </c>
      <c r="AD21" s="208">
        <f t="shared" si="20"/>
        <v>0</v>
      </c>
      <c r="AE21" s="208">
        <f t="shared" si="21"/>
        <v>0</v>
      </c>
      <c r="AF21" s="208">
        <f t="shared" si="22"/>
        <v>0</v>
      </c>
      <c r="AG21" s="208">
        <f t="shared" si="23"/>
        <v>0</v>
      </c>
      <c r="AH21" s="15">
        <f t="shared" si="31"/>
        <v>0</v>
      </c>
      <c r="AI21" s="350">
        <f t="shared" si="26"/>
        <v>0</v>
      </c>
      <c r="AJ21" s="351">
        <f t="shared" si="27"/>
        <v>0</v>
      </c>
      <c r="AK21" s="350">
        <f t="shared" si="28"/>
        <v>0</v>
      </c>
      <c r="AL21" s="350">
        <f t="shared" si="29"/>
        <v>0</v>
      </c>
    </row>
    <row r="22" spans="1:38" x14ac:dyDescent="0.25">
      <c r="A22" s="133" t="s">
        <v>91</v>
      </c>
      <c r="B22" s="141"/>
      <c r="C22" s="134"/>
      <c r="D22" s="144"/>
      <c r="E22" s="135"/>
      <c r="F22" s="149"/>
      <c r="G22" s="136"/>
      <c r="H22" s="208">
        <f t="shared" si="30"/>
        <v>0</v>
      </c>
      <c r="I22" s="208">
        <f t="shared" si="1"/>
        <v>0</v>
      </c>
      <c r="J22" s="208">
        <f t="shared" si="2"/>
        <v>0</v>
      </c>
      <c r="K22" s="208">
        <f t="shared" si="3"/>
        <v>0</v>
      </c>
      <c r="L22" s="208">
        <f t="shared" si="4"/>
        <v>0</v>
      </c>
      <c r="M22" s="208">
        <f t="shared" si="5"/>
        <v>0</v>
      </c>
      <c r="N22" s="208">
        <f t="shared" si="6"/>
        <v>0</v>
      </c>
      <c r="O22" s="208">
        <f t="shared" si="7"/>
        <v>0</v>
      </c>
      <c r="P22" s="208">
        <f t="shared" si="8"/>
        <v>0</v>
      </c>
      <c r="Q22" s="208">
        <f t="shared" si="9"/>
        <v>0</v>
      </c>
      <c r="R22" s="208">
        <f t="shared" si="10"/>
        <v>0</v>
      </c>
      <c r="S22" s="208">
        <f t="shared" si="11"/>
        <v>0</v>
      </c>
      <c r="T22" s="208">
        <f t="shared" si="12"/>
        <v>0</v>
      </c>
      <c r="U22" s="208">
        <f t="shared" si="24"/>
        <v>0</v>
      </c>
      <c r="V22" s="208">
        <f t="shared" si="25"/>
        <v>0</v>
      </c>
      <c r="W22" s="208">
        <f t="shared" si="13"/>
        <v>0</v>
      </c>
      <c r="X22" s="208">
        <f t="shared" si="14"/>
        <v>0</v>
      </c>
      <c r="Y22" s="208">
        <f t="shared" si="15"/>
        <v>0</v>
      </c>
      <c r="Z22" s="208">
        <f t="shared" si="16"/>
        <v>0</v>
      </c>
      <c r="AA22" s="208">
        <f t="shared" si="17"/>
        <v>0</v>
      </c>
      <c r="AB22" s="208">
        <f t="shared" si="18"/>
        <v>0</v>
      </c>
      <c r="AC22" s="208">
        <f t="shared" si="19"/>
        <v>0</v>
      </c>
      <c r="AD22" s="208">
        <f t="shared" si="20"/>
        <v>0</v>
      </c>
      <c r="AE22" s="208">
        <f t="shared" si="21"/>
        <v>0</v>
      </c>
      <c r="AF22" s="208">
        <f t="shared" si="22"/>
        <v>0</v>
      </c>
      <c r="AG22" s="208">
        <f t="shared" si="23"/>
        <v>0</v>
      </c>
      <c r="AH22" s="15">
        <f t="shared" si="31"/>
        <v>0</v>
      </c>
      <c r="AI22" s="350">
        <f t="shared" si="26"/>
        <v>0</v>
      </c>
      <c r="AJ22" s="351">
        <f t="shared" si="27"/>
        <v>0</v>
      </c>
      <c r="AK22" s="350">
        <f t="shared" si="28"/>
        <v>0</v>
      </c>
      <c r="AL22" s="350">
        <f t="shared" si="29"/>
        <v>0</v>
      </c>
    </row>
    <row r="23" spans="1:38" x14ac:dyDescent="0.25">
      <c r="A23" s="133" t="s">
        <v>92</v>
      </c>
      <c r="B23" s="141"/>
      <c r="C23" s="134"/>
      <c r="D23" s="144"/>
      <c r="E23" s="135"/>
      <c r="F23" s="149"/>
      <c r="G23" s="136"/>
      <c r="H23" s="208">
        <f t="shared" si="30"/>
        <v>0</v>
      </c>
      <c r="I23" s="208">
        <f t="shared" si="1"/>
        <v>0</v>
      </c>
      <c r="J23" s="208">
        <f t="shared" si="2"/>
        <v>0</v>
      </c>
      <c r="K23" s="208">
        <f t="shared" si="3"/>
        <v>0</v>
      </c>
      <c r="L23" s="208">
        <f t="shared" si="4"/>
        <v>0</v>
      </c>
      <c r="M23" s="208">
        <f t="shared" si="5"/>
        <v>0</v>
      </c>
      <c r="N23" s="208">
        <f t="shared" si="6"/>
        <v>0</v>
      </c>
      <c r="O23" s="208">
        <f t="shared" si="7"/>
        <v>0</v>
      </c>
      <c r="P23" s="208">
        <f t="shared" si="8"/>
        <v>0</v>
      </c>
      <c r="Q23" s="208">
        <f t="shared" si="9"/>
        <v>0</v>
      </c>
      <c r="R23" s="208">
        <f t="shared" si="10"/>
        <v>0</v>
      </c>
      <c r="S23" s="208">
        <f t="shared" si="11"/>
        <v>0</v>
      </c>
      <c r="T23" s="208">
        <f t="shared" si="12"/>
        <v>0</v>
      </c>
      <c r="U23" s="208">
        <f t="shared" si="24"/>
        <v>0</v>
      </c>
      <c r="V23" s="208">
        <f t="shared" si="25"/>
        <v>0</v>
      </c>
      <c r="W23" s="208">
        <f t="shared" si="13"/>
        <v>0</v>
      </c>
      <c r="X23" s="208">
        <f t="shared" si="14"/>
        <v>0</v>
      </c>
      <c r="Y23" s="208">
        <f t="shared" si="15"/>
        <v>0</v>
      </c>
      <c r="Z23" s="208">
        <f t="shared" si="16"/>
        <v>0</v>
      </c>
      <c r="AA23" s="208">
        <f t="shared" si="17"/>
        <v>0</v>
      </c>
      <c r="AB23" s="208">
        <f t="shared" si="18"/>
        <v>0</v>
      </c>
      <c r="AC23" s="208">
        <f t="shared" si="19"/>
        <v>0</v>
      </c>
      <c r="AD23" s="208">
        <f t="shared" si="20"/>
        <v>0</v>
      </c>
      <c r="AE23" s="208">
        <f t="shared" si="21"/>
        <v>0</v>
      </c>
      <c r="AF23" s="208">
        <f t="shared" si="22"/>
        <v>0</v>
      </c>
      <c r="AG23" s="208">
        <f t="shared" si="23"/>
        <v>0</v>
      </c>
      <c r="AH23" s="15">
        <f t="shared" si="31"/>
        <v>0</v>
      </c>
      <c r="AI23" s="350">
        <f t="shared" si="26"/>
        <v>0</v>
      </c>
      <c r="AJ23" s="351">
        <f t="shared" si="27"/>
        <v>0</v>
      </c>
      <c r="AK23" s="350">
        <f t="shared" si="28"/>
        <v>0</v>
      </c>
      <c r="AL23" s="350">
        <f t="shared" si="29"/>
        <v>0</v>
      </c>
    </row>
    <row r="24" spans="1:38" x14ac:dyDescent="0.25">
      <c r="A24" s="133" t="s">
        <v>93</v>
      </c>
      <c r="B24" s="141"/>
      <c r="C24" s="134"/>
      <c r="D24" s="144"/>
      <c r="E24" s="135"/>
      <c r="F24" s="149"/>
      <c r="G24" s="136"/>
      <c r="H24" s="208">
        <f t="shared" si="30"/>
        <v>0</v>
      </c>
      <c r="I24" s="208">
        <f t="shared" si="1"/>
        <v>0</v>
      </c>
      <c r="J24" s="208">
        <f t="shared" si="2"/>
        <v>0</v>
      </c>
      <c r="K24" s="208">
        <f t="shared" si="3"/>
        <v>0</v>
      </c>
      <c r="L24" s="208">
        <f t="shared" si="4"/>
        <v>0</v>
      </c>
      <c r="M24" s="208">
        <f t="shared" si="5"/>
        <v>0</v>
      </c>
      <c r="N24" s="208">
        <f t="shared" si="6"/>
        <v>0</v>
      </c>
      <c r="O24" s="208">
        <f t="shared" si="7"/>
        <v>0</v>
      </c>
      <c r="P24" s="208">
        <f t="shared" si="8"/>
        <v>0</v>
      </c>
      <c r="Q24" s="208">
        <f t="shared" si="9"/>
        <v>0</v>
      </c>
      <c r="R24" s="208">
        <f t="shared" si="10"/>
        <v>0</v>
      </c>
      <c r="S24" s="208">
        <f t="shared" si="11"/>
        <v>0</v>
      </c>
      <c r="T24" s="208">
        <f t="shared" si="12"/>
        <v>0</v>
      </c>
      <c r="U24" s="208">
        <f t="shared" si="24"/>
        <v>0</v>
      </c>
      <c r="V24" s="208">
        <f t="shared" si="25"/>
        <v>0</v>
      </c>
      <c r="W24" s="208">
        <f t="shared" si="13"/>
        <v>0</v>
      </c>
      <c r="X24" s="208">
        <f t="shared" si="14"/>
        <v>0</v>
      </c>
      <c r="Y24" s="208">
        <f t="shared" si="15"/>
        <v>0</v>
      </c>
      <c r="Z24" s="208">
        <f t="shared" si="16"/>
        <v>0</v>
      </c>
      <c r="AA24" s="208">
        <f t="shared" si="17"/>
        <v>0</v>
      </c>
      <c r="AB24" s="208">
        <f t="shared" si="18"/>
        <v>0</v>
      </c>
      <c r="AC24" s="208">
        <f t="shared" si="19"/>
        <v>0</v>
      </c>
      <c r="AD24" s="208">
        <f t="shared" si="20"/>
        <v>0</v>
      </c>
      <c r="AE24" s="208">
        <f t="shared" si="21"/>
        <v>0</v>
      </c>
      <c r="AF24" s="208">
        <f t="shared" si="22"/>
        <v>0</v>
      </c>
      <c r="AG24" s="208">
        <f t="shared" si="23"/>
        <v>0</v>
      </c>
      <c r="AH24" s="15">
        <f t="shared" si="31"/>
        <v>0</v>
      </c>
      <c r="AI24" s="350">
        <f t="shared" si="26"/>
        <v>0</v>
      </c>
      <c r="AJ24" s="351">
        <f t="shared" si="27"/>
        <v>0</v>
      </c>
      <c r="AK24" s="350">
        <f t="shared" si="28"/>
        <v>0</v>
      </c>
      <c r="AL24" s="350">
        <f t="shared" si="29"/>
        <v>0</v>
      </c>
    </row>
    <row r="25" spans="1:38" x14ac:dyDescent="0.25">
      <c r="A25" s="133" t="s">
        <v>94</v>
      </c>
      <c r="B25" s="141"/>
      <c r="C25" s="134"/>
      <c r="D25" s="144"/>
      <c r="E25" s="135"/>
      <c r="F25" s="149"/>
      <c r="G25" s="136"/>
      <c r="H25" s="208">
        <f t="shared" si="30"/>
        <v>0</v>
      </c>
      <c r="I25" s="208">
        <f t="shared" si="1"/>
        <v>0</v>
      </c>
      <c r="J25" s="208">
        <f t="shared" si="2"/>
        <v>0</v>
      </c>
      <c r="K25" s="208">
        <f t="shared" si="3"/>
        <v>0</v>
      </c>
      <c r="L25" s="208">
        <f t="shared" si="4"/>
        <v>0</v>
      </c>
      <c r="M25" s="208">
        <f t="shared" si="5"/>
        <v>0</v>
      </c>
      <c r="N25" s="208">
        <f t="shared" si="6"/>
        <v>0</v>
      </c>
      <c r="O25" s="208">
        <f t="shared" si="7"/>
        <v>0</v>
      </c>
      <c r="P25" s="208">
        <f t="shared" si="8"/>
        <v>0</v>
      </c>
      <c r="Q25" s="208">
        <f t="shared" si="9"/>
        <v>0</v>
      </c>
      <c r="R25" s="208">
        <f t="shared" si="10"/>
        <v>0</v>
      </c>
      <c r="S25" s="208">
        <f t="shared" si="11"/>
        <v>0</v>
      </c>
      <c r="T25" s="208">
        <f t="shared" si="12"/>
        <v>0</v>
      </c>
      <c r="U25" s="208">
        <f t="shared" si="24"/>
        <v>0</v>
      </c>
      <c r="V25" s="208">
        <f t="shared" si="25"/>
        <v>0</v>
      </c>
      <c r="W25" s="208">
        <f t="shared" si="13"/>
        <v>0</v>
      </c>
      <c r="X25" s="208">
        <f t="shared" si="14"/>
        <v>0</v>
      </c>
      <c r="Y25" s="208">
        <f t="shared" si="15"/>
        <v>0</v>
      </c>
      <c r="Z25" s="208">
        <f t="shared" si="16"/>
        <v>0</v>
      </c>
      <c r="AA25" s="208">
        <f t="shared" si="17"/>
        <v>0</v>
      </c>
      <c r="AB25" s="208">
        <f t="shared" si="18"/>
        <v>0</v>
      </c>
      <c r="AC25" s="208">
        <f t="shared" si="19"/>
        <v>0</v>
      </c>
      <c r="AD25" s="208">
        <f t="shared" si="20"/>
        <v>0</v>
      </c>
      <c r="AE25" s="208">
        <f t="shared" si="21"/>
        <v>0</v>
      </c>
      <c r="AF25" s="208">
        <f t="shared" si="22"/>
        <v>0</v>
      </c>
      <c r="AG25" s="208">
        <f t="shared" si="23"/>
        <v>0</v>
      </c>
      <c r="AH25" s="15">
        <f t="shared" si="31"/>
        <v>0</v>
      </c>
      <c r="AI25" s="350">
        <f t="shared" si="26"/>
        <v>0</v>
      </c>
      <c r="AJ25" s="351">
        <f t="shared" si="27"/>
        <v>0</v>
      </c>
      <c r="AK25" s="350">
        <f t="shared" si="28"/>
        <v>0</v>
      </c>
      <c r="AL25" s="350">
        <f t="shared" si="29"/>
        <v>0</v>
      </c>
    </row>
    <row r="26" spans="1:38" x14ac:dyDescent="0.25">
      <c r="A26" s="133" t="s">
        <v>95</v>
      </c>
      <c r="B26" s="141"/>
      <c r="C26" s="134"/>
      <c r="D26" s="144"/>
      <c r="E26" s="135"/>
      <c r="F26" s="149"/>
      <c r="G26" s="136"/>
      <c r="H26" s="208">
        <f t="shared" si="30"/>
        <v>0</v>
      </c>
      <c r="I26" s="208">
        <f t="shared" si="1"/>
        <v>0</v>
      </c>
      <c r="J26" s="208">
        <f t="shared" si="2"/>
        <v>0</v>
      </c>
      <c r="K26" s="208">
        <f t="shared" si="3"/>
        <v>0</v>
      </c>
      <c r="L26" s="208">
        <f t="shared" si="4"/>
        <v>0</v>
      </c>
      <c r="M26" s="208">
        <f t="shared" si="5"/>
        <v>0</v>
      </c>
      <c r="N26" s="208">
        <f t="shared" si="6"/>
        <v>0</v>
      </c>
      <c r="O26" s="208">
        <f t="shared" si="7"/>
        <v>0</v>
      </c>
      <c r="P26" s="208">
        <f t="shared" si="8"/>
        <v>0</v>
      </c>
      <c r="Q26" s="208">
        <f t="shared" si="9"/>
        <v>0</v>
      </c>
      <c r="R26" s="208">
        <f t="shared" si="10"/>
        <v>0</v>
      </c>
      <c r="S26" s="208">
        <f t="shared" si="11"/>
        <v>0</v>
      </c>
      <c r="T26" s="208">
        <f t="shared" si="12"/>
        <v>0</v>
      </c>
      <c r="U26" s="208">
        <f t="shared" si="24"/>
        <v>0</v>
      </c>
      <c r="V26" s="208">
        <f t="shared" si="25"/>
        <v>0</v>
      </c>
      <c r="W26" s="208">
        <f t="shared" si="13"/>
        <v>0</v>
      </c>
      <c r="X26" s="208">
        <f t="shared" si="14"/>
        <v>0</v>
      </c>
      <c r="Y26" s="208">
        <f t="shared" si="15"/>
        <v>0</v>
      </c>
      <c r="Z26" s="208">
        <f t="shared" si="16"/>
        <v>0</v>
      </c>
      <c r="AA26" s="208">
        <f t="shared" si="17"/>
        <v>0</v>
      </c>
      <c r="AB26" s="208">
        <f t="shared" si="18"/>
        <v>0</v>
      </c>
      <c r="AC26" s="208">
        <f t="shared" si="19"/>
        <v>0</v>
      </c>
      <c r="AD26" s="208">
        <f t="shared" si="20"/>
        <v>0</v>
      </c>
      <c r="AE26" s="208">
        <f t="shared" si="21"/>
        <v>0</v>
      </c>
      <c r="AF26" s="208">
        <f t="shared" si="22"/>
        <v>0</v>
      </c>
      <c r="AG26" s="208">
        <f t="shared" si="23"/>
        <v>0</v>
      </c>
      <c r="AH26" s="15">
        <f t="shared" si="31"/>
        <v>0</v>
      </c>
      <c r="AI26" s="350">
        <f t="shared" si="26"/>
        <v>0</v>
      </c>
      <c r="AJ26" s="351">
        <f t="shared" si="27"/>
        <v>0</v>
      </c>
      <c r="AK26" s="350">
        <f t="shared" si="28"/>
        <v>0</v>
      </c>
      <c r="AL26" s="350">
        <f t="shared" si="29"/>
        <v>0</v>
      </c>
    </row>
    <row r="27" spans="1:38" x14ac:dyDescent="0.25">
      <c r="A27" s="133" t="s">
        <v>96</v>
      </c>
      <c r="B27" s="141"/>
      <c r="C27" s="134"/>
      <c r="D27" s="144"/>
      <c r="E27" s="135"/>
      <c r="F27" s="149"/>
      <c r="G27" s="136"/>
      <c r="H27" s="208">
        <f t="shared" si="30"/>
        <v>0</v>
      </c>
      <c r="I27" s="208">
        <f t="shared" si="1"/>
        <v>0</v>
      </c>
      <c r="J27" s="208">
        <f t="shared" si="2"/>
        <v>0</v>
      </c>
      <c r="K27" s="208">
        <f t="shared" si="3"/>
        <v>0</v>
      </c>
      <c r="L27" s="208">
        <f t="shared" si="4"/>
        <v>0</v>
      </c>
      <c r="M27" s="208">
        <f t="shared" si="5"/>
        <v>0</v>
      </c>
      <c r="N27" s="208">
        <f t="shared" si="6"/>
        <v>0</v>
      </c>
      <c r="O27" s="208">
        <f t="shared" si="7"/>
        <v>0</v>
      </c>
      <c r="P27" s="208">
        <f t="shared" si="8"/>
        <v>0</v>
      </c>
      <c r="Q27" s="208">
        <f t="shared" si="9"/>
        <v>0</v>
      </c>
      <c r="R27" s="208">
        <f t="shared" si="10"/>
        <v>0</v>
      </c>
      <c r="S27" s="208">
        <f t="shared" si="11"/>
        <v>0</v>
      </c>
      <c r="T27" s="208">
        <f t="shared" si="12"/>
        <v>0</v>
      </c>
      <c r="U27" s="208">
        <f t="shared" si="24"/>
        <v>0</v>
      </c>
      <c r="V27" s="208">
        <f t="shared" si="25"/>
        <v>0</v>
      </c>
      <c r="W27" s="208">
        <f t="shared" si="13"/>
        <v>0</v>
      </c>
      <c r="X27" s="208">
        <f t="shared" si="14"/>
        <v>0</v>
      </c>
      <c r="Y27" s="208">
        <f t="shared" si="15"/>
        <v>0</v>
      </c>
      <c r="Z27" s="208">
        <f t="shared" si="16"/>
        <v>0</v>
      </c>
      <c r="AA27" s="208">
        <f t="shared" si="17"/>
        <v>0</v>
      </c>
      <c r="AB27" s="208">
        <f t="shared" si="18"/>
        <v>0</v>
      </c>
      <c r="AC27" s="208">
        <f t="shared" si="19"/>
        <v>0</v>
      </c>
      <c r="AD27" s="208">
        <f t="shared" si="20"/>
        <v>0</v>
      </c>
      <c r="AE27" s="208">
        <f t="shared" si="21"/>
        <v>0</v>
      </c>
      <c r="AF27" s="208">
        <f t="shared" si="22"/>
        <v>0</v>
      </c>
      <c r="AG27" s="208">
        <f t="shared" si="23"/>
        <v>0</v>
      </c>
      <c r="AH27" s="15">
        <f t="shared" si="31"/>
        <v>0</v>
      </c>
      <c r="AI27" s="350">
        <f t="shared" si="26"/>
        <v>0</v>
      </c>
      <c r="AJ27" s="351">
        <f t="shared" si="27"/>
        <v>0</v>
      </c>
      <c r="AK27" s="350">
        <f t="shared" si="28"/>
        <v>0</v>
      </c>
      <c r="AL27" s="350">
        <f t="shared" si="29"/>
        <v>0</v>
      </c>
    </row>
    <row r="28" spans="1:38" x14ac:dyDescent="0.25">
      <c r="A28" s="133" t="s">
        <v>97</v>
      </c>
      <c r="B28" s="141"/>
      <c r="C28" s="134"/>
      <c r="D28" s="144"/>
      <c r="E28" s="135"/>
      <c r="F28" s="149"/>
      <c r="G28" s="136"/>
      <c r="H28" s="208">
        <f t="shared" si="30"/>
        <v>0</v>
      </c>
      <c r="I28" s="208">
        <f t="shared" si="1"/>
        <v>0</v>
      </c>
      <c r="J28" s="208">
        <f t="shared" si="2"/>
        <v>0</v>
      </c>
      <c r="K28" s="208">
        <f t="shared" si="3"/>
        <v>0</v>
      </c>
      <c r="L28" s="208">
        <f t="shared" si="4"/>
        <v>0</v>
      </c>
      <c r="M28" s="208">
        <f t="shared" si="5"/>
        <v>0</v>
      </c>
      <c r="N28" s="208">
        <f t="shared" si="6"/>
        <v>0</v>
      </c>
      <c r="O28" s="208">
        <f t="shared" si="7"/>
        <v>0</v>
      </c>
      <c r="P28" s="208">
        <f t="shared" si="8"/>
        <v>0</v>
      </c>
      <c r="Q28" s="208">
        <f t="shared" si="9"/>
        <v>0</v>
      </c>
      <c r="R28" s="208">
        <f t="shared" si="10"/>
        <v>0</v>
      </c>
      <c r="S28" s="208">
        <f t="shared" si="11"/>
        <v>0</v>
      </c>
      <c r="T28" s="208">
        <f t="shared" si="12"/>
        <v>0</v>
      </c>
      <c r="U28" s="208">
        <f t="shared" si="24"/>
        <v>0</v>
      </c>
      <c r="V28" s="208">
        <f t="shared" si="25"/>
        <v>0</v>
      </c>
      <c r="W28" s="208">
        <f t="shared" si="13"/>
        <v>0</v>
      </c>
      <c r="X28" s="208">
        <f t="shared" si="14"/>
        <v>0</v>
      </c>
      <c r="Y28" s="208">
        <f t="shared" si="15"/>
        <v>0</v>
      </c>
      <c r="Z28" s="208">
        <f t="shared" si="16"/>
        <v>0</v>
      </c>
      <c r="AA28" s="208">
        <f t="shared" si="17"/>
        <v>0</v>
      </c>
      <c r="AB28" s="208">
        <f t="shared" si="18"/>
        <v>0</v>
      </c>
      <c r="AC28" s="208">
        <f t="shared" si="19"/>
        <v>0</v>
      </c>
      <c r="AD28" s="208">
        <f t="shared" si="20"/>
        <v>0</v>
      </c>
      <c r="AE28" s="208">
        <f t="shared" si="21"/>
        <v>0</v>
      </c>
      <c r="AF28" s="208">
        <f t="shared" si="22"/>
        <v>0</v>
      </c>
      <c r="AG28" s="208">
        <f t="shared" si="23"/>
        <v>0</v>
      </c>
      <c r="AH28" s="15">
        <f t="shared" si="31"/>
        <v>0</v>
      </c>
      <c r="AI28" s="350">
        <f t="shared" si="26"/>
        <v>0</v>
      </c>
      <c r="AJ28" s="351">
        <f t="shared" si="27"/>
        <v>0</v>
      </c>
      <c r="AK28" s="350">
        <f t="shared" si="28"/>
        <v>0</v>
      </c>
      <c r="AL28" s="350">
        <f t="shared" si="29"/>
        <v>0</v>
      </c>
    </row>
    <row r="29" spans="1:38" x14ac:dyDescent="0.25">
      <c r="A29" s="133" t="s">
        <v>98</v>
      </c>
      <c r="B29" s="141"/>
      <c r="C29" s="134"/>
      <c r="D29" s="144"/>
      <c r="E29" s="135"/>
      <c r="F29" s="149"/>
      <c r="G29" s="136"/>
      <c r="H29" s="208">
        <f t="shared" si="30"/>
        <v>0</v>
      </c>
      <c r="I29" s="208">
        <f t="shared" si="1"/>
        <v>0</v>
      </c>
      <c r="J29" s="208">
        <f t="shared" si="2"/>
        <v>0</v>
      </c>
      <c r="K29" s="208">
        <f t="shared" si="3"/>
        <v>0</v>
      </c>
      <c r="L29" s="208">
        <f t="shared" si="4"/>
        <v>0</v>
      </c>
      <c r="M29" s="208">
        <f t="shared" si="5"/>
        <v>0</v>
      </c>
      <c r="N29" s="208">
        <f t="shared" si="6"/>
        <v>0</v>
      </c>
      <c r="O29" s="208">
        <f t="shared" si="7"/>
        <v>0</v>
      </c>
      <c r="P29" s="208">
        <f t="shared" si="8"/>
        <v>0</v>
      </c>
      <c r="Q29" s="208">
        <f t="shared" si="9"/>
        <v>0</v>
      </c>
      <c r="R29" s="208">
        <f t="shared" si="10"/>
        <v>0</v>
      </c>
      <c r="S29" s="208">
        <f t="shared" si="11"/>
        <v>0</v>
      </c>
      <c r="T29" s="208">
        <f t="shared" si="12"/>
        <v>0</v>
      </c>
      <c r="U29" s="208">
        <f t="shared" si="24"/>
        <v>0</v>
      </c>
      <c r="V29" s="208">
        <f t="shared" si="25"/>
        <v>0</v>
      </c>
      <c r="W29" s="208">
        <f t="shared" si="13"/>
        <v>0</v>
      </c>
      <c r="X29" s="208">
        <f t="shared" si="14"/>
        <v>0</v>
      </c>
      <c r="Y29" s="208">
        <f t="shared" si="15"/>
        <v>0</v>
      </c>
      <c r="Z29" s="208">
        <f t="shared" si="16"/>
        <v>0</v>
      </c>
      <c r="AA29" s="208">
        <f t="shared" si="17"/>
        <v>0</v>
      </c>
      <c r="AB29" s="208">
        <f t="shared" si="18"/>
        <v>0</v>
      </c>
      <c r="AC29" s="208">
        <f t="shared" si="19"/>
        <v>0</v>
      </c>
      <c r="AD29" s="208">
        <f t="shared" si="20"/>
        <v>0</v>
      </c>
      <c r="AE29" s="208">
        <f t="shared" si="21"/>
        <v>0</v>
      </c>
      <c r="AF29" s="208">
        <f t="shared" si="22"/>
        <v>0</v>
      </c>
      <c r="AG29" s="208">
        <f t="shared" si="23"/>
        <v>0</v>
      </c>
      <c r="AH29" s="15">
        <f t="shared" si="31"/>
        <v>0</v>
      </c>
      <c r="AI29" s="350">
        <f t="shared" si="26"/>
        <v>0</v>
      </c>
      <c r="AJ29" s="351">
        <f t="shared" si="27"/>
        <v>0</v>
      </c>
      <c r="AK29" s="350">
        <f t="shared" si="28"/>
        <v>0</v>
      </c>
      <c r="AL29" s="350">
        <f t="shared" si="29"/>
        <v>0</v>
      </c>
    </row>
    <row r="30" spans="1:38" x14ac:dyDescent="0.25">
      <c r="A30" s="133" t="s">
        <v>99</v>
      </c>
      <c r="B30" s="141"/>
      <c r="C30" s="134"/>
      <c r="D30" s="144"/>
      <c r="E30" s="135"/>
      <c r="F30" s="149"/>
      <c r="G30" s="136"/>
      <c r="H30" s="208">
        <f t="shared" si="30"/>
        <v>0</v>
      </c>
      <c r="I30" s="208">
        <f t="shared" si="1"/>
        <v>0</v>
      </c>
      <c r="J30" s="208">
        <f t="shared" si="2"/>
        <v>0</v>
      </c>
      <c r="K30" s="208">
        <f t="shared" si="3"/>
        <v>0</v>
      </c>
      <c r="L30" s="208">
        <f t="shared" si="4"/>
        <v>0</v>
      </c>
      <c r="M30" s="208">
        <f t="shared" si="5"/>
        <v>0</v>
      </c>
      <c r="N30" s="208">
        <f t="shared" si="6"/>
        <v>0</v>
      </c>
      <c r="O30" s="208">
        <f t="shared" si="7"/>
        <v>0</v>
      </c>
      <c r="P30" s="208">
        <f t="shared" si="8"/>
        <v>0</v>
      </c>
      <c r="Q30" s="208">
        <f t="shared" si="9"/>
        <v>0</v>
      </c>
      <c r="R30" s="208">
        <f t="shared" si="10"/>
        <v>0</v>
      </c>
      <c r="S30" s="208">
        <f t="shared" si="11"/>
        <v>0</v>
      </c>
      <c r="T30" s="208">
        <f t="shared" si="12"/>
        <v>0</v>
      </c>
      <c r="U30" s="208">
        <f t="shared" si="24"/>
        <v>0</v>
      </c>
      <c r="V30" s="208">
        <f t="shared" si="25"/>
        <v>0</v>
      </c>
      <c r="W30" s="208">
        <f t="shared" si="13"/>
        <v>0</v>
      </c>
      <c r="X30" s="208">
        <f t="shared" si="14"/>
        <v>0</v>
      </c>
      <c r="Y30" s="208">
        <f t="shared" si="15"/>
        <v>0</v>
      </c>
      <c r="Z30" s="208">
        <f t="shared" si="16"/>
        <v>0</v>
      </c>
      <c r="AA30" s="208">
        <f t="shared" si="17"/>
        <v>0</v>
      </c>
      <c r="AB30" s="208">
        <f t="shared" si="18"/>
        <v>0</v>
      </c>
      <c r="AC30" s="208">
        <f t="shared" si="19"/>
        <v>0</v>
      </c>
      <c r="AD30" s="208">
        <f t="shared" si="20"/>
        <v>0</v>
      </c>
      <c r="AE30" s="208">
        <f t="shared" si="21"/>
        <v>0</v>
      </c>
      <c r="AF30" s="208">
        <f t="shared" si="22"/>
        <v>0</v>
      </c>
      <c r="AG30" s="208">
        <f t="shared" si="23"/>
        <v>0</v>
      </c>
      <c r="AH30" s="15">
        <f t="shared" si="31"/>
        <v>0</v>
      </c>
      <c r="AI30" s="350">
        <f t="shared" si="26"/>
        <v>0</v>
      </c>
      <c r="AJ30" s="351">
        <f t="shared" si="27"/>
        <v>0</v>
      </c>
      <c r="AK30" s="350">
        <f t="shared" si="28"/>
        <v>0</v>
      </c>
      <c r="AL30" s="350">
        <f t="shared" si="29"/>
        <v>0</v>
      </c>
    </row>
    <row r="31" spans="1:38" x14ac:dyDescent="0.25">
      <c r="A31" s="137" t="s">
        <v>100</v>
      </c>
      <c r="B31" s="142"/>
      <c r="C31" s="138"/>
      <c r="D31" s="145"/>
      <c r="E31" s="139"/>
      <c r="F31" s="150"/>
      <c r="G31" s="140"/>
      <c r="H31" s="1">
        <f t="shared" si="30"/>
        <v>0</v>
      </c>
      <c r="I31" s="1">
        <f t="shared" si="1"/>
        <v>0</v>
      </c>
      <c r="J31" s="1">
        <f t="shared" si="2"/>
        <v>0</v>
      </c>
      <c r="K31" s="1">
        <f t="shared" si="3"/>
        <v>0</v>
      </c>
      <c r="L31" s="1">
        <f t="shared" si="4"/>
        <v>0</v>
      </c>
      <c r="M31" s="1">
        <f t="shared" si="5"/>
        <v>0</v>
      </c>
      <c r="N31" s="1">
        <f t="shared" si="6"/>
        <v>0</v>
      </c>
      <c r="O31" s="1">
        <f t="shared" si="7"/>
        <v>0</v>
      </c>
      <c r="P31" s="1">
        <f t="shared" si="8"/>
        <v>0</v>
      </c>
      <c r="Q31" s="1">
        <f t="shared" si="9"/>
        <v>0</v>
      </c>
      <c r="R31" s="1">
        <f t="shared" si="10"/>
        <v>0</v>
      </c>
      <c r="S31" s="1">
        <f t="shared" si="11"/>
        <v>0</v>
      </c>
      <c r="T31" s="1">
        <f t="shared" si="12"/>
        <v>0</v>
      </c>
      <c r="U31" s="1">
        <f t="shared" si="24"/>
        <v>0</v>
      </c>
      <c r="V31" s="1">
        <f t="shared" si="25"/>
        <v>0</v>
      </c>
      <c r="W31" s="1">
        <f t="shared" si="13"/>
        <v>0</v>
      </c>
      <c r="X31" s="1">
        <f t="shared" si="14"/>
        <v>0</v>
      </c>
      <c r="Y31" s="1">
        <f t="shared" si="15"/>
        <v>0</v>
      </c>
      <c r="Z31" s="1">
        <f t="shared" si="16"/>
        <v>0</v>
      </c>
      <c r="AA31" s="1">
        <f t="shared" si="17"/>
        <v>0</v>
      </c>
      <c r="AB31" s="1">
        <f t="shared" si="18"/>
        <v>0</v>
      </c>
      <c r="AC31" s="1">
        <f t="shared" si="19"/>
        <v>0</v>
      </c>
      <c r="AD31" s="1">
        <f t="shared" si="20"/>
        <v>0</v>
      </c>
      <c r="AE31" s="1">
        <f t="shared" si="21"/>
        <v>0</v>
      </c>
      <c r="AF31" s="1">
        <f t="shared" si="22"/>
        <v>0</v>
      </c>
      <c r="AG31" s="1">
        <f t="shared" si="23"/>
        <v>0</v>
      </c>
      <c r="AH31" s="16">
        <f t="shared" si="31"/>
        <v>0</v>
      </c>
      <c r="AI31" s="352">
        <f t="shared" si="26"/>
        <v>0</v>
      </c>
      <c r="AJ31" s="237">
        <f t="shared" si="27"/>
        <v>0</v>
      </c>
      <c r="AK31" s="352">
        <f t="shared" si="28"/>
        <v>0</v>
      </c>
      <c r="AL31" s="352">
        <f t="shared" si="29"/>
        <v>0</v>
      </c>
    </row>
    <row r="32" spans="1:38" x14ac:dyDescent="0.25">
      <c r="F32" s="18" t="s">
        <v>105</v>
      </c>
      <c r="AI32" s="353">
        <f>ROUND(SUM(AI7:AI31),2)</f>
        <v>0</v>
      </c>
      <c r="AJ32" s="353">
        <f>ROUND(SUM(AJ7:AJ31),2)</f>
        <v>0</v>
      </c>
      <c r="AK32" s="353">
        <f>ROUND(SUM(AK7:AK31),2)</f>
        <v>0</v>
      </c>
      <c r="AL32" s="353">
        <f>ROUND(SUM(AL7:AL31),2)</f>
        <v>0</v>
      </c>
    </row>
  </sheetData>
  <sheetProtection algorithmName="SHA-512" hashValue="F9VNkzKG/ZCWh+gxOZnzoPnaZ65wNlQcZ1zVKyGYjkvUhL2JOOiZ1aceMLfuThAR7Ifa1rFGDUCWnixB5mLKFQ==" saltValue="S4u9ukuTXdTR9s8LFjJuAg==" spinCount="100000" sheet="1" objects="1" scenarios="1"/>
  <mergeCells count="1">
    <mergeCell ref="C1:AI3"/>
  </mergeCells>
  <dataValidations count="4">
    <dataValidation type="date" allowBlank="1" showInputMessage="1" showErrorMessage="1" sqref="D8:D31">
      <formula1>42736</formula1>
      <formula2>43465</formula2>
    </dataValidation>
    <dataValidation type="date" allowBlank="1" showInputMessage="1" showErrorMessage="1" sqref="B2">
      <formula1>42736</formula1>
      <formula2>42749</formula2>
    </dataValidation>
    <dataValidation type="date" allowBlank="1" showInputMessage="1" showErrorMessage="1" sqref="D7">
      <formula1>42736</formula1>
      <formula2>43465</formula2>
    </dataValidation>
    <dataValidation type="list" allowBlank="1" showInputMessage="1" showErrorMessage="1" sqref="B3">
      <formula1>"Weekly,Fortnightly"</formula1>
    </dataValidation>
  </dataValidations>
  <pageMargins left="0.7" right="0.7" top="0.75" bottom="0.75" header="0.3" footer="0.3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8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D2" sqref="D2:E2"/>
    </sheetView>
  </sheetViews>
  <sheetFormatPr defaultColWidth="9" defaultRowHeight="11.25" x14ac:dyDescent="0.2"/>
  <cols>
    <col min="1" max="1" width="46.28515625" style="79" bestFit="1" customWidth="1"/>
    <col min="2" max="3" width="14.28515625" style="79" customWidth="1"/>
    <col min="4" max="5" width="14.28515625" style="105" customWidth="1"/>
    <col min="6" max="8" width="11.28515625" style="105" hidden="1" customWidth="1"/>
    <col min="9" max="23" width="14.28515625" style="79" customWidth="1"/>
    <col min="24" max="16384" width="9" style="79"/>
  </cols>
  <sheetData>
    <row r="1" spans="1:23" s="52" customFormat="1" ht="11.65" customHeight="1" x14ac:dyDescent="0.2">
      <c r="D1" s="53"/>
      <c r="E1" s="53"/>
      <c r="F1" s="53"/>
      <c r="G1" s="53"/>
      <c r="H1" s="53"/>
      <c r="I1" s="373" t="s">
        <v>41</v>
      </c>
      <c r="J1" s="373"/>
      <c r="K1" s="373"/>
      <c r="L1" s="373"/>
      <c r="M1" s="373"/>
      <c r="N1" s="373"/>
      <c r="O1" s="376">
        <f>'Service Information'!A4</f>
        <v>0</v>
      </c>
      <c r="P1" s="376"/>
      <c r="Q1" s="376"/>
      <c r="R1" s="376"/>
      <c r="S1" s="376"/>
      <c r="T1" s="376"/>
      <c r="U1" s="376"/>
      <c r="V1" s="376"/>
      <c r="W1" s="376"/>
    </row>
    <row r="2" spans="1:23" s="52" customFormat="1" ht="25.15" customHeight="1" thickBot="1" x14ac:dyDescent="0.25">
      <c r="B2" s="172" t="s">
        <v>125</v>
      </c>
      <c r="C2" s="172"/>
      <c r="D2" s="374" t="s">
        <v>229</v>
      </c>
      <c r="E2" s="374"/>
      <c r="F2" s="53"/>
      <c r="G2" s="53"/>
      <c r="H2" s="53"/>
      <c r="I2" s="375"/>
      <c r="J2" s="375"/>
      <c r="K2" s="375"/>
      <c r="L2" s="375"/>
      <c r="M2" s="375"/>
      <c r="N2" s="375"/>
      <c r="O2" s="377"/>
      <c r="P2" s="377"/>
      <c r="Q2" s="377"/>
      <c r="R2" s="377"/>
      <c r="S2" s="377"/>
      <c r="T2" s="377"/>
      <c r="U2" s="377"/>
      <c r="V2" s="377"/>
      <c r="W2" s="377"/>
    </row>
    <row r="3" spans="1:23" s="52" customFormat="1" ht="15.6" customHeight="1" thickTop="1" x14ac:dyDescent="0.2">
      <c r="B3" s="320"/>
      <c r="D3" s="349"/>
      <c r="E3" s="349"/>
      <c r="F3" s="53"/>
      <c r="G3" s="53"/>
      <c r="H3" s="53"/>
      <c r="I3" s="380">
        <f>F5</f>
        <v>2017</v>
      </c>
      <c r="J3" s="381"/>
      <c r="K3" s="379" t="s">
        <v>42</v>
      </c>
      <c r="L3" s="379"/>
      <c r="M3" s="319"/>
      <c r="N3" s="380">
        <f>G5</f>
        <v>2018</v>
      </c>
      <c r="O3" s="381"/>
      <c r="P3" s="379" t="s">
        <v>42</v>
      </c>
      <c r="Q3" s="379"/>
      <c r="R3" s="319"/>
      <c r="S3" s="380">
        <f>H5</f>
        <v>2019</v>
      </c>
      <c r="T3" s="381"/>
      <c r="U3" s="379" t="s">
        <v>42</v>
      </c>
      <c r="V3" s="379"/>
      <c r="W3" s="319"/>
    </row>
    <row r="4" spans="1:23" s="52" customFormat="1" ht="15.6" customHeight="1" thickBot="1" x14ac:dyDescent="0.25">
      <c r="D4" s="53"/>
      <c r="E4" s="53"/>
      <c r="F4" s="53"/>
      <c r="G4" s="53"/>
      <c r="H4" s="53"/>
      <c r="I4" s="382"/>
      <c r="J4" s="383"/>
      <c r="K4" s="378" t="s">
        <v>203</v>
      </c>
      <c r="L4" s="378"/>
      <c r="M4" s="74"/>
      <c r="N4" s="382"/>
      <c r="O4" s="383"/>
      <c r="P4" s="378" t="s">
        <v>203</v>
      </c>
      <c r="Q4" s="378"/>
      <c r="R4" s="74"/>
      <c r="S4" s="382"/>
      <c r="T4" s="383"/>
      <c r="U4" s="378" t="s">
        <v>203</v>
      </c>
      <c r="V4" s="378"/>
      <c r="W4" s="74"/>
    </row>
    <row r="5" spans="1:23" s="60" customFormat="1" ht="24.75" thickTop="1" x14ac:dyDescent="0.2">
      <c r="A5" s="151" t="s">
        <v>43</v>
      </c>
      <c r="B5" s="54">
        <f>IF(D2="31 December",2013,"2012-13")</f>
        <v>2013</v>
      </c>
      <c r="C5" s="54">
        <f>IF(D2="31 December",2014,"2013-14")</f>
        <v>2014</v>
      </c>
      <c r="D5" s="54">
        <f>IF(D2="31 December",2015,"2014-15")</f>
        <v>2015</v>
      </c>
      <c r="E5" s="54">
        <f>IF(D2="31 December",2016,"2015-16")</f>
        <v>2016</v>
      </c>
      <c r="F5" s="341">
        <f>IF(D2="31 December",2017,"2016-17")</f>
        <v>2017</v>
      </c>
      <c r="G5" s="54">
        <f>IF(D2="31 December",2018,"2017-18")</f>
        <v>2018</v>
      </c>
      <c r="H5" s="54">
        <f>IF(D2="31 December",2019,"2018-19")</f>
        <v>2019</v>
      </c>
      <c r="I5" s="55" t="s">
        <v>44</v>
      </c>
      <c r="J5" s="56" t="s">
        <v>45</v>
      </c>
      <c r="K5" s="56" t="s">
        <v>46</v>
      </c>
      <c r="L5" s="57" t="s">
        <v>47</v>
      </c>
      <c r="M5" s="58" t="str">
        <f>IF(F5=2017,"2017 Budget","2016-17 Budget")</f>
        <v>2017 Budget</v>
      </c>
      <c r="N5" s="55" t="s">
        <v>44</v>
      </c>
      <c r="O5" s="56" t="s">
        <v>45</v>
      </c>
      <c r="P5" s="56" t="s">
        <v>46</v>
      </c>
      <c r="Q5" s="57" t="s">
        <v>47</v>
      </c>
      <c r="R5" s="59" t="str">
        <f>IF(G5=2018,"2018 Budget","2017-18 Budget")</f>
        <v>2018 Budget</v>
      </c>
      <c r="S5" s="55" t="s">
        <v>44</v>
      </c>
      <c r="T5" s="56" t="s">
        <v>45</v>
      </c>
      <c r="U5" s="56" t="s">
        <v>46</v>
      </c>
      <c r="V5" s="57" t="s">
        <v>47</v>
      </c>
      <c r="W5" s="59" t="str">
        <f>IF(H5=2019,"2019 Budget","2018-19 Budget")</f>
        <v>2019 Budget</v>
      </c>
    </row>
    <row r="6" spans="1:23" s="60" customFormat="1" ht="12" hidden="1" x14ac:dyDescent="0.2">
      <c r="A6" s="173"/>
      <c r="B6" s="174">
        <v>1</v>
      </c>
      <c r="C6" s="174">
        <v>2</v>
      </c>
      <c r="D6" s="174">
        <v>3</v>
      </c>
      <c r="E6" s="174">
        <v>4</v>
      </c>
      <c r="F6" s="342">
        <v>5</v>
      </c>
      <c r="G6" s="174">
        <v>6</v>
      </c>
      <c r="H6" s="174">
        <v>7</v>
      </c>
      <c r="I6" s="175"/>
      <c r="J6" s="176"/>
      <c r="K6" s="176"/>
      <c r="L6" s="177"/>
      <c r="M6" s="178"/>
      <c r="N6" s="175"/>
      <c r="O6" s="176"/>
      <c r="P6" s="176"/>
      <c r="Q6" s="177"/>
      <c r="R6" s="179"/>
      <c r="S6" s="175"/>
      <c r="T6" s="176"/>
      <c r="U6" s="176"/>
      <c r="V6" s="177"/>
      <c r="W6" s="179"/>
    </row>
    <row r="7" spans="1:23" s="52" customFormat="1" ht="12.75" thickBot="1" x14ac:dyDescent="0.25">
      <c r="A7" s="152"/>
      <c r="B7" s="61"/>
      <c r="C7" s="62"/>
      <c r="D7" s="63"/>
      <c r="E7" s="63"/>
      <c r="F7" s="343"/>
      <c r="G7" s="63"/>
      <c r="H7" s="63"/>
      <c r="I7" s="64"/>
      <c r="J7" s="65"/>
      <c r="K7" s="65"/>
      <c r="L7" s="62"/>
      <c r="M7" s="66"/>
      <c r="N7" s="64"/>
      <c r="O7" s="65"/>
      <c r="P7" s="65"/>
      <c r="Q7" s="62"/>
      <c r="R7" s="67"/>
      <c r="S7" s="64"/>
      <c r="T7" s="65"/>
      <c r="U7" s="65"/>
      <c r="V7" s="62"/>
      <c r="W7" s="67"/>
    </row>
    <row r="8" spans="1:23" s="52" customFormat="1" ht="12.75" thickTop="1" x14ac:dyDescent="0.2">
      <c r="A8" s="153" t="s">
        <v>48</v>
      </c>
      <c r="B8" s="68"/>
      <c r="D8" s="53"/>
      <c r="E8" s="53"/>
      <c r="F8" s="344"/>
      <c r="G8" s="53"/>
      <c r="H8" s="53"/>
      <c r="I8" s="69"/>
      <c r="J8" s="70"/>
      <c r="K8" s="70"/>
      <c r="M8" s="71"/>
      <c r="N8" s="69"/>
      <c r="O8" s="70"/>
      <c r="P8" s="70"/>
      <c r="R8" s="72"/>
      <c r="S8" s="69"/>
      <c r="T8" s="70"/>
      <c r="U8" s="70"/>
      <c r="W8" s="72"/>
    </row>
    <row r="9" spans="1:23" ht="12" x14ac:dyDescent="0.2">
      <c r="A9" s="160" t="s">
        <v>144</v>
      </c>
      <c r="B9" s="73"/>
      <c r="C9" s="73"/>
      <c r="D9" s="73"/>
      <c r="E9" s="73"/>
      <c r="F9" s="76" t="e">
        <f>M9</f>
        <v>#DIV/0!</v>
      </c>
      <c r="G9" s="75" t="e">
        <f>R9</f>
        <v>#DIV/0!</v>
      </c>
      <c r="H9" s="75" t="e">
        <f>W9</f>
        <v>#DIV/0!</v>
      </c>
      <c r="I9" s="76">
        <f>IF(B9="",IF(C9="",IF(D9="",E9,TREND(D9:E9,$D$6:$E$6,$F$6,TRUE)),TREND(C9:E9,$C$6:$E$6,$F$6,TRUE)),TREND(B9:E9,$B$6:$E$6,$F$6,TRUE))</f>
        <v>0</v>
      </c>
      <c r="J9" s="75">
        <f>E9*(1+$M$3)</f>
        <v>0</v>
      </c>
      <c r="K9" s="75"/>
      <c r="L9" s="113" t="s">
        <v>49</v>
      </c>
      <c r="M9" s="77" t="e">
        <f>IF(I3="2016-17",'PFM Amounts'!H17+'PFM Amounts'!H26/2,'PFM Amounts'!H26)</f>
        <v>#DIV/0!</v>
      </c>
      <c r="N9" s="76" t="e">
        <f>IF($B9="",IF($C9="",IF($D9="",IF($E9="",$F9,TREND(($E9:$F9),($E$6:$F$6),$G$6,TRUE)),TREND(($D9:$F9),($D$6:$F$6),$G$6,TRUE)),TREND(($C9:$F9),($C$6:$F$6),$G$6,TRUE)),TREND(($B9:$F9),($B$6:$F$6),$G$6,TRUE))</f>
        <v>#DIV/0!</v>
      </c>
      <c r="O9" s="75" t="e">
        <f t="shared" ref="O9:O20" si="0">M9*(1+$R$3)</f>
        <v>#DIV/0!</v>
      </c>
      <c r="P9" s="75"/>
      <c r="Q9" s="113" t="s">
        <v>49</v>
      </c>
      <c r="R9" s="78" t="e">
        <f>IF(I3="2016-17",'PFM Amounts'!H26/2+'PFM Amounts'!H38/2,'PFM Amounts'!H38)</f>
        <v>#DIV/0!</v>
      </c>
      <c r="S9" s="76" t="e">
        <f>IF($B9="",IF($C9="",IF($D9="",IF($E9="",IF($F9="",$G9,TREND(($F9:$G9),($F$6:$G$6),$H$6,TRUE)),TREND(($F9:$G9),($F$6:$G$6),$H$6,TRUE)),TREND(($D9:$G9),($D$6:$G$6),$H$6,TRUE)),TREND(($C9:$G9),($C$6:$G$6),$H$6,TRUE)),TREND(($B9:$G9),($B$6:$G$6),$H$6,TRUE))</f>
        <v>#DIV/0!</v>
      </c>
      <c r="T9" s="75" t="e">
        <f t="shared" ref="T9:T20" si="1">R9*(1+$W$3)</f>
        <v>#DIV/0!</v>
      </c>
      <c r="U9" s="75"/>
      <c r="V9" s="113" t="s">
        <v>49</v>
      </c>
      <c r="W9" s="78" t="e">
        <f>IF(I3="2016-17",'PFM Amounts'!H38/2+'PFM Amounts'!H50/2,'PFM Amounts'!H50)</f>
        <v>#DIV/0!</v>
      </c>
    </row>
    <row r="10" spans="1:23" ht="12" x14ac:dyDescent="0.2">
      <c r="A10" s="154" t="s">
        <v>145</v>
      </c>
      <c r="B10" s="73"/>
      <c r="C10" s="73"/>
      <c r="D10" s="73"/>
      <c r="E10" s="73"/>
      <c r="F10" s="76">
        <f t="shared" ref="F10:F20" si="2">M10</f>
        <v>0</v>
      </c>
      <c r="G10" s="75">
        <f t="shared" ref="G10:G20" si="3">R10</f>
        <v>0</v>
      </c>
      <c r="H10" s="75">
        <f t="shared" ref="H10:H20" si="4">W10</f>
        <v>0</v>
      </c>
      <c r="I10" s="76">
        <f t="shared" ref="I10:I20" si="5">IF(B10="",IF(C10="",IF(D10="",E10,TREND(D10:E10,$D$6:$E$6,$F$6,TRUE)),TREND(C10:E10,$C$6:$E$6,$F$6,TRUE)),TREND(B10:E10,$B$6:$E$6,$F$6,TRUE))</f>
        <v>0</v>
      </c>
      <c r="J10" s="75">
        <f t="shared" ref="J10:J20" si="6">E10*(1+$M$3)</f>
        <v>0</v>
      </c>
      <c r="K10" s="73"/>
      <c r="L10" s="114" t="s">
        <v>231</v>
      </c>
      <c r="M10" s="77">
        <f t="shared" ref="M10:M20" si="7">IF(L10="Trend",I10,IF(L10="CPI",J10,K10))</f>
        <v>0</v>
      </c>
      <c r="N10" s="76">
        <f>IF($B10="",IF($C10="",IF($D10="",IF($E10="",$F10,TREND(($E10:$F10),($E$6:$F$6),$G$6,TRUE)),TREND(($D10:$F10),($D$6:$F$6),$G$6,TRUE)),TREND(($C10:$F10),($C$6:$F$6),$G$6,TRUE)),TREND(($B10:$F10),($B$6:$F$6),$G$6,TRUE))</f>
        <v>0</v>
      </c>
      <c r="O10" s="75">
        <f t="shared" si="0"/>
        <v>0</v>
      </c>
      <c r="P10" s="73"/>
      <c r="Q10" s="114" t="s">
        <v>231</v>
      </c>
      <c r="R10" s="78">
        <f t="shared" ref="R10:R20" si="8">IF(Q10="Trend",N10,IF(Q10="CPI",O10,P10))</f>
        <v>0</v>
      </c>
      <c r="S10" s="76">
        <f>IF($B10="",IF($C10="",IF($D10="",IF($E10="",IF($F10="",$G10,TREND(($F10:$G10),($F$6:$G$6),$H$6,TRUE)),TREND(($F10:$G10),($F$6:$G$6),$H$6,TRUE)),TREND(($D10:$G10),($D$6:$G$6),$H$6,TRUE)),TREND(($C10:$G10),($C$6:$G$6),$H$6,TRUE)),TREND(($B10:$G10),($B$6:$G$6),$H$6,TRUE))</f>
        <v>0</v>
      </c>
      <c r="T10" s="75">
        <f t="shared" si="1"/>
        <v>0</v>
      </c>
      <c r="U10" s="73"/>
      <c r="V10" s="114" t="s">
        <v>119</v>
      </c>
      <c r="W10" s="78">
        <f t="shared" ref="W10:W20" si="9">IF(V10="Trend",S10,IF(V10="CPI",T10,U10))</f>
        <v>0</v>
      </c>
    </row>
    <row r="11" spans="1:23" ht="12" x14ac:dyDescent="0.2">
      <c r="A11" s="160" t="s">
        <v>146</v>
      </c>
      <c r="B11" s="73"/>
      <c r="C11" s="73"/>
      <c r="D11" s="73"/>
      <c r="E11" s="73"/>
      <c r="F11" s="76">
        <f t="shared" si="2"/>
        <v>0</v>
      </c>
      <c r="G11" s="75">
        <f t="shared" si="3"/>
        <v>0</v>
      </c>
      <c r="H11" s="75">
        <f t="shared" si="4"/>
        <v>0</v>
      </c>
      <c r="I11" s="76">
        <f t="shared" si="5"/>
        <v>0</v>
      </c>
      <c r="J11" s="75">
        <f t="shared" si="6"/>
        <v>0</v>
      </c>
      <c r="K11" s="75"/>
      <c r="L11" s="113" t="s">
        <v>49</v>
      </c>
      <c r="M11" s="77">
        <f>IF(I3=2017,'PFM Amounts'!H29,'PFM Amounts'!K12+'PFM Amounts'!K27)</f>
        <v>0</v>
      </c>
      <c r="N11" s="76">
        <f t="shared" ref="N11:N20" si="10">IF($B11="",IF($C11="",IF($D11="",IF($E11="",$F11,TREND(($E11:$F11),($E$6:$F$6),$G$6,TRUE)),TREND(($D11:$F11),($D$6:$F$6),$G$6,TRUE)),TREND(($C11:$F11),($C$6:$F$6),$G$6,TRUE)),TREND(($B11:$F11),($B$6:$F$6),$G$6,TRUE))</f>
        <v>0</v>
      </c>
      <c r="O11" s="75">
        <f t="shared" si="0"/>
        <v>0</v>
      </c>
      <c r="P11" s="75"/>
      <c r="Q11" s="113" t="s">
        <v>49</v>
      </c>
      <c r="R11" s="78">
        <f>IF(I3=2017,'PFM Amounts'!H41,'PFM Amounts'!K28+'PFM Amounts'!K39)</f>
        <v>0</v>
      </c>
      <c r="S11" s="76">
        <f t="shared" ref="S11:S20" si="11">IF($B11="",IF($C11="",IF($D11="",IF($E11="",IF($F11="",$G11,TREND(($F11:$G11),($F$6:$G$6),$H$6,TRUE)),TREND(($F11:$G11),($F$6:$G$6),$H$6,TRUE)),TREND(($D11:$G11),($D$6:$G$6),$H$6,TRUE)),TREND(($C11:$G11),($C$6:$G$6),$H$6,TRUE)),TREND(($B11:$G11),($B$6:$G$6),$H$6,TRUE))</f>
        <v>0</v>
      </c>
      <c r="T11" s="75">
        <f t="shared" si="1"/>
        <v>0</v>
      </c>
      <c r="U11" s="75"/>
      <c r="V11" s="113" t="s">
        <v>49</v>
      </c>
      <c r="W11" s="78">
        <f>IF(I3=2017,'PFM Amounts'!H53,'PFM Amounts'!K40+'PFM Amounts'!K51)</f>
        <v>0</v>
      </c>
    </row>
    <row r="12" spans="1:23" ht="12" x14ac:dyDescent="0.2">
      <c r="A12" s="258" t="s">
        <v>165</v>
      </c>
      <c r="B12" s="73"/>
      <c r="C12" s="73"/>
      <c r="D12" s="73"/>
      <c r="E12" s="73"/>
      <c r="F12" s="76">
        <f t="shared" si="2"/>
        <v>0</v>
      </c>
      <c r="G12" s="75">
        <f t="shared" si="3"/>
        <v>0</v>
      </c>
      <c r="H12" s="75">
        <f t="shared" si="4"/>
        <v>0</v>
      </c>
      <c r="I12" s="76">
        <f t="shared" si="5"/>
        <v>0</v>
      </c>
      <c r="J12" s="75">
        <f t="shared" si="6"/>
        <v>0</v>
      </c>
      <c r="K12" s="73"/>
      <c r="L12" s="114" t="s">
        <v>231</v>
      </c>
      <c r="M12" s="77">
        <f t="shared" si="7"/>
        <v>0</v>
      </c>
      <c r="N12" s="76">
        <f t="shared" si="10"/>
        <v>0</v>
      </c>
      <c r="O12" s="75">
        <f t="shared" si="0"/>
        <v>0</v>
      </c>
      <c r="P12" s="73"/>
      <c r="Q12" s="114" t="s">
        <v>231</v>
      </c>
      <c r="R12" s="78">
        <f t="shared" si="8"/>
        <v>0</v>
      </c>
      <c r="S12" s="76">
        <f t="shared" si="11"/>
        <v>0</v>
      </c>
      <c r="T12" s="75">
        <f t="shared" si="1"/>
        <v>0</v>
      </c>
      <c r="U12" s="73"/>
      <c r="V12" s="114" t="s">
        <v>119</v>
      </c>
      <c r="W12" s="78">
        <f t="shared" si="9"/>
        <v>0</v>
      </c>
    </row>
    <row r="13" spans="1:23" ht="12" x14ac:dyDescent="0.2">
      <c r="A13" s="258" t="s">
        <v>166</v>
      </c>
      <c r="B13" s="73"/>
      <c r="C13" s="73"/>
      <c r="D13" s="73"/>
      <c r="E13" s="73"/>
      <c r="F13" s="76">
        <f t="shared" si="2"/>
        <v>0</v>
      </c>
      <c r="G13" s="75">
        <f t="shared" si="3"/>
        <v>0</v>
      </c>
      <c r="H13" s="75">
        <f t="shared" si="4"/>
        <v>0</v>
      </c>
      <c r="I13" s="76">
        <f t="shared" si="5"/>
        <v>0</v>
      </c>
      <c r="J13" s="75">
        <f t="shared" si="6"/>
        <v>0</v>
      </c>
      <c r="K13" s="73"/>
      <c r="L13" s="114" t="s">
        <v>119</v>
      </c>
      <c r="M13" s="77">
        <f t="shared" si="7"/>
        <v>0</v>
      </c>
      <c r="N13" s="76">
        <f t="shared" si="10"/>
        <v>0</v>
      </c>
      <c r="O13" s="75">
        <f t="shared" si="0"/>
        <v>0</v>
      </c>
      <c r="P13" s="73"/>
      <c r="Q13" s="114" t="s">
        <v>119</v>
      </c>
      <c r="R13" s="78">
        <f t="shared" si="8"/>
        <v>0</v>
      </c>
      <c r="S13" s="76">
        <f t="shared" si="11"/>
        <v>0</v>
      </c>
      <c r="T13" s="75">
        <f t="shared" si="1"/>
        <v>0</v>
      </c>
      <c r="U13" s="73"/>
      <c r="V13" s="114" t="s">
        <v>119</v>
      </c>
      <c r="W13" s="78">
        <f t="shared" si="9"/>
        <v>0</v>
      </c>
    </row>
    <row r="14" spans="1:23" ht="12" x14ac:dyDescent="0.2">
      <c r="A14" s="258" t="s">
        <v>211</v>
      </c>
      <c r="B14" s="73"/>
      <c r="C14" s="73"/>
      <c r="D14" s="73"/>
      <c r="E14" s="73"/>
      <c r="F14" s="76">
        <f t="shared" si="2"/>
        <v>0</v>
      </c>
      <c r="G14" s="75">
        <f t="shared" si="3"/>
        <v>0</v>
      </c>
      <c r="H14" s="75">
        <f t="shared" si="4"/>
        <v>0</v>
      </c>
      <c r="I14" s="76">
        <f t="shared" si="5"/>
        <v>0</v>
      </c>
      <c r="J14" s="75">
        <f t="shared" si="6"/>
        <v>0</v>
      </c>
      <c r="K14" s="73"/>
      <c r="L14" s="114" t="s">
        <v>119</v>
      </c>
      <c r="M14" s="77">
        <f t="shared" si="7"/>
        <v>0</v>
      </c>
      <c r="N14" s="76">
        <f t="shared" si="10"/>
        <v>0</v>
      </c>
      <c r="O14" s="75">
        <f t="shared" si="0"/>
        <v>0</v>
      </c>
      <c r="P14" s="73"/>
      <c r="Q14" s="114" t="s">
        <v>119</v>
      </c>
      <c r="R14" s="78">
        <f t="shared" si="8"/>
        <v>0</v>
      </c>
      <c r="S14" s="76">
        <f t="shared" si="11"/>
        <v>0</v>
      </c>
      <c r="T14" s="75">
        <f t="shared" si="1"/>
        <v>0</v>
      </c>
      <c r="U14" s="73"/>
      <c r="V14" s="114" t="s">
        <v>119</v>
      </c>
      <c r="W14" s="78">
        <f t="shared" si="9"/>
        <v>0</v>
      </c>
    </row>
    <row r="15" spans="1:23" ht="12" x14ac:dyDescent="0.2">
      <c r="A15" s="160" t="s">
        <v>50</v>
      </c>
      <c r="B15" s="73"/>
      <c r="C15" s="73"/>
      <c r="D15" s="73"/>
      <c r="E15" s="73"/>
      <c r="F15" s="76" t="e">
        <f t="shared" si="2"/>
        <v>#DIV/0!</v>
      </c>
      <c r="G15" s="75" t="e">
        <f t="shared" si="3"/>
        <v>#DIV/0!</v>
      </c>
      <c r="H15" s="75" t="e">
        <f t="shared" si="4"/>
        <v>#DIV/0!</v>
      </c>
      <c r="I15" s="76">
        <f t="shared" si="5"/>
        <v>0</v>
      </c>
      <c r="J15" s="75">
        <f t="shared" si="6"/>
        <v>0</v>
      </c>
      <c r="K15" s="75"/>
      <c r="L15" s="113" t="s">
        <v>49</v>
      </c>
      <c r="M15" s="77" t="e">
        <f>'Fee Setting'!B16</f>
        <v>#DIV/0!</v>
      </c>
      <c r="N15" s="76" t="e">
        <f t="shared" si="10"/>
        <v>#DIV/0!</v>
      </c>
      <c r="O15" s="75" t="e">
        <f t="shared" si="0"/>
        <v>#DIV/0!</v>
      </c>
      <c r="P15" s="75"/>
      <c r="Q15" s="113" t="s">
        <v>49</v>
      </c>
      <c r="R15" s="78" t="e">
        <f>'Fee Setting'!C16</f>
        <v>#DIV/0!</v>
      </c>
      <c r="S15" s="76" t="e">
        <f t="shared" si="11"/>
        <v>#DIV/0!</v>
      </c>
      <c r="T15" s="75" t="e">
        <f t="shared" si="1"/>
        <v>#DIV/0!</v>
      </c>
      <c r="U15" s="75"/>
      <c r="V15" s="113" t="s">
        <v>49</v>
      </c>
      <c r="W15" s="78" t="e">
        <f>'Fee Setting'!D16</f>
        <v>#DIV/0!</v>
      </c>
    </row>
    <row r="16" spans="1:23" ht="12" x14ac:dyDescent="0.2">
      <c r="A16" s="259" t="s">
        <v>167</v>
      </c>
      <c r="B16" s="73"/>
      <c r="C16" s="73"/>
      <c r="D16" s="73"/>
      <c r="E16" s="73"/>
      <c r="F16" s="76">
        <f t="shared" si="2"/>
        <v>0</v>
      </c>
      <c r="G16" s="75">
        <f t="shared" si="3"/>
        <v>0</v>
      </c>
      <c r="H16" s="75">
        <f t="shared" si="4"/>
        <v>0</v>
      </c>
      <c r="I16" s="76">
        <f t="shared" si="5"/>
        <v>0</v>
      </c>
      <c r="J16" s="75">
        <f t="shared" si="6"/>
        <v>0</v>
      </c>
      <c r="K16" s="73"/>
      <c r="L16" s="114" t="s">
        <v>119</v>
      </c>
      <c r="M16" s="77">
        <f t="shared" si="7"/>
        <v>0</v>
      </c>
      <c r="N16" s="76">
        <f t="shared" si="10"/>
        <v>0</v>
      </c>
      <c r="O16" s="75">
        <f t="shared" si="0"/>
        <v>0</v>
      </c>
      <c r="P16" s="73"/>
      <c r="Q16" s="114" t="s">
        <v>119</v>
      </c>
      <c r="R16" s="78">
        <f t="shared" si="8"/>
        <v>0</v>
      </c>
      <c r="S16" s="76">
        <f t="shared" si="11"/>
        <v>0</v>
      </c>
      <c r="T16" s="75">
        <f t="shared" si="1"/>
        <v>0</v>
      </c>
      <c r="U16" s="73"/>
      <c r="V16" s="114" t="s">
        <v>119</v>
      </c>
      <c r="W16" s="78">
        <f t="shared" si="9"/>
        <v>0</v>
      </c>
    </row>
    <row r="17" spans="1:23" ht="12" x14ac:dyDescent="0.2">
      <c r="A17" s="259" t="s">
        <v>168</v>
      </c>
      <c r="B17" s="73"/>
      <c r="C17" s="73"/>
      <c r="D17" s="73"/>
      <c r="E17" s="73"/>
      <c r="F17" s="76">
        <f t="shared" si="2"/>
        <v>0</v>
      </c>
      <c r="G17" s="75">
        <f t="shared" si="3"/>
        <v>0</v>
      </c>
      <c r="H17" s="75">
        <f t="shared" si="4"/>
        <v>0</v>
      </c>
      <c r="I17" s="76">
        <f t="shared" si="5"/>
        <v>0</v>
      </c>
      <c r="J17" s="75">
        <f t="shared" si="6"/>
        <v>0</v>
      </c>
      <c r="K17" s="73"/>
      <c r="L17" s="114" t="s">
        <v>119</v>
      </c>
      <c r="M17" s="77">
        <f t="shared" si="7"/>
        <v>0</v>
      </c>
      <c r="N17" s="76">
        <f t="shared" si="10"/>
        <v>0</v>
      </c>
      <c r="O17" s="75">
        <f t="shared" si="0"/>
        <v>0</v>
      </c>
      <c r="P17" s="73"/>
      <c r="Q17" s="114" t="s">
        <v>119</v>
      </c>
      <c r="R17" s="78">
        <f t="shared" si="8"/>
        <v>0</v>
      </c>
      <c r="S17" s="76">
        <f t="shared" si="11"/>
        <v>0</v>
      </c>
      <c r="T17" s="75">
        <f t="shared" si="1"/>
        <v>0</v>
      </c>
      <c r="U17" s="73"/>
      <c r="V17" s="114" t="s">
        <v>119</v>
      </c>
      <c r="W17" s="78">
        <f t="shared" si="9"/>
        <v>0</v>
      </c>
    </row>
    <row r="18" spans="1:23" ht="12" x14ac:dyDescent="0.2">
      <c r="A18" s="259" t="s">
        <v>15</v>
      </c>
      <c r="B18" s="73"/>
      <c r="C18" s="73"/>
      <c r="D18" s="73"/>
      <c r="E18" s="73"/>
      <c r="F18" s="76">
        <f t="shared" si="2"/>
        <v>0</v>
      </c>
      <c r="G18" s="75">
        <f t="shared" si="3"/>
        <v>0</v>
      </c>
      <c r="H18" s="75">
        <f t="shared" si="4"/>
        <v>0</v>
      </c>
      <c r="I18" s="76">
        <f t="shared" si="5"/>
        <v>0</v>
      </c>
      <c r="J18" s="75">
        <f t="shared" si="6"/>
        <v>0</v>
      </c>
      <c r="K18" s="73"/>
      <c r="L18" s="114" t="s">
        <v>119</v>
      </c>
      <c r="M18" s="77">
        <f t="shared" si="7"/>
        <v>0</v>
      </c>
      <c r="N18" s="76">
        <f t="shared" si="10"/>
        <v>0</v>
      </c>
      <c r="O18" s="75">
        <f t="shared" si="0"/>
        <v>0</v>
      </c>
      <c r="P18" s="73"/>
      <c r="Q18" s="114" t="s">
        <v>119</v>
      </c>
      <c r="R18" s="78">
        <f t="shared" si="8"/>
        <v>0</v>
      </c>
      <c r="S18" s="76">
        <f t="shared" si="11"/>
        <v>0</v>
      </c>
      <c r="T18" s="75">
        <f t="shared" si="1"/>
        <v>0</v>
      </c>
      <c r="U18" s="73"/>
      <c r="V18" s="114" t="s">
        <v>119</v>
      </c>
      <c r="W18" s="78">
        <f t="shared" si="9"/>
        <v>0</v>
      </c>
    </row>
    <row r="19" spans="1:23" ht="12" x14ac:dyDescent="0.2">
      <c r="A19" s="259" t="s">
        <v>212</v>
      </c>
      <c r="B19" s="73"/>
      <c r="C19" s="73"/>
      <c r="D19" s="73"/>
      <c r="E19" s="73"/>
      <c r="F19" s="76">
        <f t="shared" si="2"/>
        <v>0</v>
      </c>
      <c r="G19" s="75">
        <f t="shared" si="3"/>
        <v>0</v>
      </c>
      <c r="H19" s="75">
        <f t="shared" si="4"/>
        <v>0</v>
      </c>
      <c r="I19" s="76">
        <f t="shared" si="5"/>
        <v>0</v>
      </c>
      <c r="J19" s="75">
        <f t="shared" si="6"/>
        <v>0</v>
      </c>
      <c r="K19" s="73"/>
      <c r="L19" s="114" t="s">
        <v>119</v>
      </c>
      <c r="M19" s="77">
        <f t="shared" si="7"/>
        <v>0</v>
      </c>
      <c r="N19" s="76">
        <f t="shared" si="10"/>
        <v>0</v>
      </c>
      <c r="O19" s="75">
        <f t="shared" si="0"/>
        <v>0</v>
      </c>
      <c r="P19" s="73"/>
      <c r="Q19" s="114" t="s">
        <v>119</v>
      </c>
      <c r="R19" s="78">
        <f t="shared" si="8"/>
        <v>0</v>
      </c>
      <c r="S19" s="76">
        <f t="shared" si="11"/>
        <v>0</v>
      </c>
      <c r="T19" s="75">
        <f t="shared" si="1"/>
        <v>0</v>
      </c>
      <c r="U19" s="73"/>
      <c r="V19" s="114" t="s">
        <v>119</v>
      </c>
      <c r="W19" s="78">
        <f t="shared" si="9"/>
        <v>0</v>
      </c>
    </row>
    <row r="20" spans="1:23" ht="12" x14ac:dyDescent="0.2">
      <c r="A20" s="259" t="s">
        <v>210</v>
      </c>
      <c r="B20" s="73"/>
      <c r="C20" s="73"/>
      <c r="D20" s="73"/>
      <c r="E20" s="73"/>
      <c r="F20" s="80">
        <f t="shared" si="2"/>
        <v>0</v>
      </c>
      <c r="G20" s="81">
        <f t="shared" si="3"/>
        <v>0</v>
      </c>
      <c r="H20" s="82">
        <f t="shared" si="4"/>
        <v>0</v>
      </c>
      <c r="I20" s="80">
        <f t="shared" si="5"/>
        <v>0</v>
      </c>
      <c r="J20" s="81">
        <f t="shared" si="6"/>
        <v>0</v>
      </c>
      <c r="K20" s="93"/>
      <c r="L20" s="115" t="s">
        <v>119</v>
      </c>
      <c r="M20" s="83">
        <f t="shared" si="7"/>
        <v>0</v>
      </c>
      <c r="N20" s="80">
        <f t="shared" si="10"/>
        <v>0</v>
      </c>
      <c r="O20" s="81">
        <f t="shared" si="0"/>
        <v>0</v>
      </c>
      <c r="P20" s="93"/>
      <c r="Q20" s="115" t="s">
        <v>119</v>
      </c>
      <c r="R20" s="84">
        <f t="shared" si="8"/>
        <v>0</v>
      </c>
      <c r="S20" s="80">
        <f t="shared" si="11"/>
        <v>0</v>
      </c>
      <c r="T20" s="81">
        <f t="shared" si="1"/>
        <v>0</v>
      </c>
      <c r="U20" s="93"/>
      <c r="V20" s="115" t="s">
        <v>119</v>
      </c>
      <c r="W20" s="84">
        <f t="shared" si="9"/>
        <v>0</v>
      </c>
    </row>
    <row r="21" spans="1:23" ht="12" x14ac:dyDescent="0.2">
      <c r="A21" s="155"/>
      <c r="B21" s="85">
        <f t="shared" ref="B21:H21" si="12">SUM(B9:B20)</f>
        <v>0</v>
      </c>
      <c r="C21" s="86">
        <f>SUM(C9:C20)</f>
        <v>0</v>
      </c>
      <c r="D21" s="85">
        <f t="shared" si="12"/>
        <v>0</v>
      </c>
      <c r="E21" s="85">
        <f t="shared" si="12"/>
        <v>0</v>
      </c>
      <c r="F21" s="76" t="e">
        <f>SUM(F9:F20)</f>
        <v>#DIV/0!</v>
      </c>
      <c r="G21" s="75" t="e">
        <f t="shared" si="12"/>
        <v>#DIV/0!</v>
      </c>
      <c r="H21" s="75" t="e">
        <f t="shared" si="12"/>
        <v>#DIV/0!</v>
      </c>
      <c r="I21" s="76">
        <f>SUM(I9:I20)</f>
        <v>0</v>
      </c>
      <c r="J21" s="75">
        <f>SUM(J9:J20)</f>
        <v>0</v>
      </c>
      <c r="K21" s="75"/>
      <c r="M21" s="77" t="e">
        <f>SUM(M9:M20)</f>
        <v>#DIV/0!</v>
      </c>
      <c r="N21" s="76" t="e">
        <f>SUM(N9:N20)</f>
        <v>#DIV/0!</v>
      </c>
      <c r="O21" s="75" t="e">
        <f>SUM(O9:O20)</f>
        <v>#DIV/0!</v>
      </c>
      <c r="P21" s="75"/>
      <c r="R21" s="78" t="e">
        <f>SUM(R9:R20)</f>
        <v>#DIV/0!</v>
      </c>
      <c r="S21" s="76" t="e">
        <f>SUM(S9:S20)</f>
        <v>#DIV/0!</v>
      </c>
      <c r="T21" s="75" t="e">
        <f>SUM(T9:T20)</f>
        <v>#DIV/0!</v>
      </c>
      <c r="U21" s="75"/>
      <c r="W21" s="78" t="e">
        <f>SUM(W9:W20)</f>
        <v>#DIV/0!</v>
      </c>
    </row>
    <row r="22" spans="1:23" ht="12" x14ac:dyDescent="0.2">
      <c r="A22" s="155"/>
      <c r="B22" s="87"/>
      <c r="C22" s="87"/>
      <c r="D22" s="68"/>
      <c r="E22" s="68"/>
      <c r="F22" s="345"/>
      <c r="G22" s="68"/>
      <c r="H22" s="68"/>
      <c r="I22" s="88"/>
      <c r="J22" s="89"/>
      <c r="K22" s="89"/>
      <c r="M22" s="90"/>
      <c r="N22" s="88"/>
      <c r="O22" s="89"/>
      <c r="P22" s="89"/>
      <c r="R22" s="91"/>
      <c r="S22" s="88"/>
      <c r="T22" s="89"/>
      <c r="U22" s="89"/>
      <c r="W22" s="91"/>
    </row>
    <row r="23" spans="1:23" ht="12" x14ac:dyDescent="0.2">
      <c r="A23" s="156" t="s">
        <v>51</v>
      </c>
      <c r="B23" s="87"/>
      <c r="C23" s="87"/>
      <c r="D23" s="68"/>
      <c r="E23" s="68"/>
      <c r="F23" s="345"/>
      <c r="G23" s="68"/>
      <c r="H23" s="68"/>
      <c r="I23" s="88"/>
      <c r="J23" s="89"/>
      <c r="K23" s="89"/>
      <c r="M23" s="90"/>
      <c r="N23" s="88"/>
      <c r="O23" s="89"/>
      <c r="P23" s="89"/>
      <c r="R23" s="91"/>
      <c r="S23" s="88"/>
      <c r="T23" s="89"/>
      <c r="U23" s="89"/>
      <c r="W23" s="91"/>
    </row>
    <row r="24" spans="1:23" ht="12" x14ac:dyDescent="0.2">
      <c r="A24" s="260" t="s">
        <v>169</v>
      </c>
      <c r="B24" s="73"/>
      <c r="C24" s="73"/>
      <c r="D24" s="73"/>
      <c r="E24" s="73"/>
      <c r="F24" s="345">
        <f>M24</f>
        <v>0</v>
      </c>
      <c r="G24" s="75">
        <f>R24</f>
        <v>0</v>
      </c>
      <c r="H24" s="75">
        <f>W24</f>
        <v>0</v>
      </c>
      <c r="I24" s="76">
        <f>IF(B24="",IF(C24="",IF(D24="",E24,TREND(D24:E24,$D$6:$E$6,$F$6,TRUE)),TREND(C24:E24,$C$6:$E$6,$F$6,TRUE)),TREND(B24:E24,$B$6:$E$6,$F$6,TRUE))</f>
        <v>0</v>
      </c>
      <c r="J24" s="75">
        <f t="shared" ref="J24:J86" si="13">E24*(1+$M$3)</f>
        <v>0</v>
      </c>
      <c r="K24" s="73"/>
      <c r="L24" s="114" t="s">
        <v>119</v>
      </c>
      <c r="M24" s="77">
        <f t="shared" ref="M24:M86" si="14">IF(L24="Trend",I24,IF(L24="CPI",J24,K24))</f>
        <v>0</v>
      </c>
      <c r="N24" s="76">
        <f>IF($B24="",IF($C24="",IF($D24="",IF($E24="",$F24,TREND(($E24:$F24),($E$6:$F$6),$G$6,TRUE)),TREND(($D24:$F24),($D$6:$F$6),$G$6,TRUE)),TREND(($C24:$F24),($C$6:$F$6),$G$6,TRUE)),TREND(($B24:$F24),($B$6:$F$6),$G$6,TRUE))</f>
        <v>0</v>
      </c>
      <c r="O24" s="75">
        <f t="shared" ref="O24:O55" si="15">M24*(1+$R$3)</f>
        <v>0</v>
      </c>
      <c r="P24" s="73"/>
      <c r="Q24" s="114" t="s">
        <v>119</v>
      </c>
      <c r="R24" s="78">
        <f t="shared" ref="R24:R86" si="16">IF(Q24="Trend",N24,IF(Q24="CPI",O24,P24))</f>
        <v>0</v>
      </c>
      <c r="S24" s="76">
        <f t="shared" ref="S24:S86" si="17">IF($B24="",IF($C24="",IF($D24="",IF($E24="",IF($F24="",$G24,TREND(($F24:$G24),($F$6:$G$6),$H$6,TRUE)),TREND(($F24:$G24),($F$6:$G$6),$H$6,TRUE)),TREND(($D24:$G24),($D$6:$G$6),$H$6,TRUE)),TREND(($C24:$G24),($C$6:$G$6),$H$6,TRUE)),TREND(($B24:$G24),($B$6:$G$6),$H$6,TRUE))</f>
        <v>0</v>
      </c>
      <c r="T24" s="75">
        <f t="shared" ref="T24:T55" si="18">R24*(1+$W$3)</f>
        <v>0</v>
      </c>
      <c r="U24" s="73"/>
      <c r="V24" s="114" t="s">
        <v>119</v>
      </c>
      <c r="W24" s="78">
        <f t="shared" ref="W24:W86" si="19">IF(V24="Trend",S24,IF(V24="CPI",T24,U24))</f>
        <v>0</v>
      </c>
    </row>
    <row r="25" spans="1:23" ht="12" x14ac:dyDescent="0.2">
      <c r="A25" s="260" t="s">
        <v>52</v>
      </c>
      <c r="B25" s="73"/>
      <c r="C25" s="73"/>
      <c r="D25" s="73"/>
      <c r="E25" s="73"/>
      <c r="F25" s="345">
        <f t="shared" ref="F25:F87" si="20">M25</f>
        <v>0</v>
      </c>
      <c r="G25" s="75">
        <f t="shared" ref="G25:G87" si="21">R25</f>
        <v>0</v>
      </c>
      <c r="H25" s="75">
        <f t="shared" ref="H25:H87" si="22">W25</f>
        <v>0</v>
      </c>
      <c r="I25" s="76">
        <f t="shared" ref="I25:I86" si="23">IF(B25="",IF(C25="",IF(D25="",E25,TREND(D25:E25,$D$6:$E$6,$F$6,TRUE)),TREND(C25:E25,$C$6:$E$6,$F$6,TRUE)),TREND(B25:E25,$B$6:$E$6,$F$6,TRUE))</f>
        <v>0</v>
      </c>
      <c r="J25" s="75">
        <f t="shared" si="13"/>
        <v>0</v>
      </c>
      <c r="K25" s="73"/>
      <c r="L25" s="114" t="s">
        <v>119</v>
      </c>
      <c r="M25" s="77">
        <f t="shared" si="14"/>
        <v>0</v>
      </c>
      <c r="N25" s="76">
        <f t="shared" ref="N25:N86" si="24">IF($B25="",IF($C25="",IF($D25="",IF($E25="",$F25,TREND(($E25:$F25),($E$6:$F$6),$G$6,TRUE)),TREND(($D25:$F25),($D$6:$F$6),$G$6,TRUE)),TREND(($C25:$F25),($C$6:$F$6),$G$6,TRUE)),TREND(($B25:$F25),($B$6:$F$6),$G$6,TRUE))</f>
        <v>0</v>
      </c>
      <c r="O25" s="75">
        <f t="shared" si="15"/>
        <v>0</v>
      </c>
      <c r="P25" s="73"/>
      <c r="Q25" s="114" t="s">
        <v>119</v>
      </c>
      <c r="R25" s="78">
        <f t="shared" si="16"/>
        <v>0</v>
      </c>
      <c r="S25" s="76">
        <f t="shared" si="17"/>
        <v>0</v>
      </c>
      <c r="T25" s="75">
        <f t="shared" si="18"/>
        <v>0</v>
      </c>
      <c r="U25" s="73"/>
      <c r="V25" s="114" t="s">
        <v>119</v>
      </c>
      <c r="W25" s="78">
        <f t="shared" si="19"/>
        <v>0</v>
      </c>
    </row>
    <row r="26" spans="1:23" ht="12" x14ac:dyDescent="0.2">
      <c r="A26" s="260" t="s">
        <v>170</v>
      </c>
      <c r="B26" s="73"/>
      <c r="C26" s="73"/>
      <c r="D26" s="73"/>
      <c r="E26" s="73"/>
      <c r="F26" s="345">
        <f t="shared" si="20"/>
        <v>0</v>
      </c>
      <c r="G26" s="75">
        <f t="shared" si="21"/>
        <v>0</v>
      </c>
      <c r="H26" s="75">
        <f t="shared" si="22"/>
        <v>0</v>
      </c>
      <c r="I26" s="76">
        <f t="shared" si="23"/>
        <v>0</v>
      </c>
      <c r="J26" s="75">
        <f t="shared" si="13"/>
        <v>0</v>
      </c>
      <c r="K26" s="73"/>
      <c r="L26" s="114" t="s">
        <v>119</v>
      </c>
      <c r="M26" s="77">
        <f t="shared" si="14"/>
        <v>0</v>
      </c>
      <c r="N26" s="76">
        <f t="shared" si="24"/>
        <v>0</v>
      </c>
      <c r="O26" s="75">
        <f t="shared" si="15"/>
        <v>0</v>
      </c>
      <c r="P26" s="73"/>
      <c r="Q26" s="114" t="s">
        <v>119</v>
      </c>
      <c r="R26" s="78">
        <f t="shared" si="16"/>
        <v>0</v>
      </c>
      <c r="S26" s="76">
        <f t="shared" si="17"/>
        <v>0</v>
      </c>
      <c r="T26" s="75">
        <f t="shared" si="18"/>
        <v>0</v>
      </c>
      <c r="U26" s="73"/>
      <c r="V26" s="114" t="s">
        <v>119</v>
      </c>
      <c r="W26" s="78">
        <f t="shared" si="19"/>
        <v>0</v>
      </c>
    </row>
    <row r="27" spans="1:23" ht="12" x14ac:dyDescent="0.2">
      <c r="A27" s="260" t="s">
        <v>53</v>
      </c>
      <c r="B27" s="73"/>
      <c r="C27" s="73"/>
      <c r="D27" s="73"/>
      <c r="E27" s="73"/>
      <c r="F27" s="345">
        <f t="shared" si="20"/>
        <v>0</v>
      </c>
      <c r="G27" s="75">
        <f t="shared" si="21"/>
        <v>0</v>
      </c>
      <c r="H27" s="75">
        <f t="shared" si="22"/>
        <v>0</v>
      </c>
      <c r="I27" s="76">
        <f t="shared" si="23"/>
        <v>0</v>
      </c>
      <c r="J27" s="75">
        <f t="shared" si="13"/>
        <v>0</v>
      </c>
      <c r="K27" s="73"/>
      <c r="L27" s="114" t="s">
        <v>119</v>
      </c>
      <c r="M27" s="77">
        <f t="shared" si="14"/>
        <v>0</v>
      </c>
      <c r="N27" s="76">
        <f t="shared" si="24"/>
        <v>0</v>
      </c>
      <c r="O27" s="75">
        <f t="shared" si="15"/>
        <v>0</v>
      </c>
      <c r="P27" s="73"/>
      <c r="Q27" s="114" t="s">
        <v>119</v>
      </c>
      <c r="R27" s="78">
        <f t="shared" si="16"/>
        <v>0</v>
      </c>
      <c r="S27" s="76">
        <f t="shared" si="17"/>
        <v>0</v>
      </c>
      <c r="T27" s="75">
        <f t="shared" si="18"/>
        <v>0</v>
      </c>
      <c r="U27" s="73"/>
      <c r="V27" s="114" t="s">
        <v>119</v>
      </c>
      <c r="W27" s="78">
        <f t="shared" si="19"/>
        <v>0</v>
      </c>
    </row>
    <row r="28" spans="1:23" ht="12" x14ac:dyDescent="0.2">
      <c r="A28" s="260" t="s">
        <v>171</v>
      </c>
      <c r="B28" s="73"/>
      <c r="C28" s="73"/>
      <c r="D28" s="73"/>
      <c r="E28" s="73"/>
      <c r="F28" s="345">
        <f t="shared" si="20"/>
        <v>0</v>
      </c>
      <c r="G28" s="75">
        <f t="shared" si="21"/>
        <v>0</v>
      </c>
      <c r="H28" s="75">
        <f t="shared" si="22"/>
        <v>0</v>
      </c>
      <c r="I28" s="76">
        <f t="shared" si="23"/>
        <v>0</v>
      </c>
      <c r="J28" s="75">
        <f t="shared" si="13"/>
        <v>0</v>
      </c>
      <c r="K28" s="73"/>
      <c r="L28" s="114" t="s">
        <v>119</v>
      </c>
      <c r="M28" s="77">
        <f t="shared" si="14"/>
        <v>0</v>
      </c>
      <c r="N28" s="76">
        <f t="shared" si="24"/>
        <v>0</v>
      </c>
      <c r="O28" s="75">
        <f t="shared" si="15"/>
        <v>0</v>
      </c>
      <c r="P28" s="73"/>
      <c r="Q28" s="114" t="s">
        <v>119</v>
      </c>
      <c r="R28" s="78">
        <f t="shared" si="16"/>
        <v>0</v>
      </c>
      <c r="S28" s="76">
        <f t="shared" si="17"/>
        <v>0</v>
      </c>
      <c r="T28" s="75">
        <f t="shared" si="18"/>
        <v>0</v>
      </c>
      <c r="U28" s="73"/>
      <c r="V28" s="114" t="s">
        <v>119</v>
      </c>
      <c r="W28" s="78">
        <f t="shared" si="19"/>
        <v>0</v>
      </c>
    </row>
    <row r="29" spans="1:23" ht="12" customHeight="1" x14ac:dyDescent="0.2">
      <c r="A29" s="260" t="s">
        <v>172</v>
      </c>
      <c r="B29" s="73"/>
      <c r="C29" s="73"/>
      <c r="D29" s="73"/>
      <c r="E29" s="73"/>
      <c r="F29" s="345">
        <f t="shared" si="20"/>
        <v>0</v>
      </c>
      <c r="G29" s="75">
        <f t="shared" si="21"/>
        <v>0</v>
      </c>
      <c r="H29" s="75">
        <f t="shared" si="22"/>
        <v>0</v>
      </c>
      <c r="I29" s="76">
        <f t="shared" si="23"/>
        <v>0</v>
      </c>
      <c r="J29" s="75">
        <f t="shared" si="13"/>
        <v>0</v>
      </c>
      <c r="K29" s="73"/>
      <c r="L29" s="114" t="s">
        <v>119</v>
      </c>
      <c r="M29" s="77">
        <f t="shared" si="14"/>
        <v>0</v>
      </c>
      <c r="N29" s="76">
        <f t="shared" si="24"/>
        <v>0</v>
      </c>
      <c r="O29" s="75">
        <f t="shared" si="15"/>
        <v>0</v>
      </c>
      <c r="P29" s="73"/>
      <c r="Q29" s="114" t="s">
        <v>119</v>
      </c>
      <c r="R29" s="78">
        <f t="shared" si="16"/>
        <v>0</v>
      </c>
      <c r="S29" s="76">
        <f t="shared" si="17"/>
        <v>0</v>
      </c>
      <c r="T29" s="75">
        <f t="shared" si="18"/>
        <v>0</v>
      </c>
      <c r="U29" s="73"/>
      <c r="V29" s="114" t="s">
        <v>119</v>
      </c>
      <c r="W29" s="78">
        <f t="shared" si="19"/>
        <v>0</v>
      </c>
    </row>
    <row r="30" spans="1:23" ht="12" customHeight="1" x14ac:dyDescent="0.2">
      <c r="A30" s="260" t="s">
        <v>54</v>
      </c>
      <c r="B30" s="73"/>
      <c r="C30" s="73"/>
      <c r="D30" s="73"/>
      <c r="E30" s="73"/>
      <c r="F30" s="345">
        <f t="shared" si="20"/>
        <v>0</v>
      </c>
      <c r="G30" s="75">
        <f t="shared" si="21"/>
        <v>0</v>
      </c>
      <c r="H30" s="75">
        <f t="shared" si="22"/>
        <v>0</v>
      </c>
      <c r="I30" s="76">
        <f t="shared" si="23"/>
        <v>0</v>
      </c>
      <c r="J30" s="75">
        <f t="shared" si="13"/>
        <v>0</v>
      </c>
      <c r="K30" s="73"/>
      <c r="L30" s="114" t="s">
        <v>119</v>
      </c>
      <c r="M30" s="77">
        <f t="shared" si="14"/>
        <v>0</v>
      </c>
      <c r="N30" s="76">
        <f t="shared" si="24"/>
        <v>0</v>
      </c>
      <c r="O30" s="75">
        <f t="shared" si="15"/>
        <v>0</v>
      </c>
      <c r="P30" s="73"/>
      <c r="Q30" s="114" t="s">
        <v>119</v>
      </c>
      <c r="R30" s="78">
        <f t="shared" si="16"/>
        <v>0</v>
      </c>
      <c r="S30" s="76">
        <f t="shared" si="17"/>
        <v>0</v>
      </c>
      <c r="T30" s="75">
        <f t="shared" si="18"/>
        <v>0</v>
      </c>
      <c r="U30" s="73"/>
      <c r="V30" s="114" t="s">
        <v>119</v>
      </c>
      <c r="W30" s="78">
        <f t="shared" si="19"/>
        <v>0</v>
      </c>
    </row>
    <row r="31" spans="1:23" ht="12" customHeight="1" x14ac:dyDescent="0.2">
      <c r="A31" s="260" t="s">
        <v>55</v>
      </c>
      <c r="B31" s="73"/>
      <c r="C31" s="73"/>
      <c r="D31" s="73"/>
      <c r="E31" s="73"/>
      <c r="F31" s="345">
        <f t="shared" si="20"/>
        <v>0</v>
      </c>
      <c r="G31" s="75">
        <f t="shared" si="21"/>
        <v>0</v>
      </c>
      <c r="H31" s="75">
        <f t="shared" si="22"/>
        <v>0</v>
      </c>
      <c r="I31" s="76">
        <f t="shared" si="23"/>
        <v>0</v>
      </c>
      <c r="J31" s="75">
        <f t="shared" si="13"/>
        <v>0</v>
      </c>
      <c r="K31" s="73"/>
      <c r="L31" s="114" t="s">
        <v>119</v>
      </c>
      <c r="M31" s="77">
        <f t="shared" si="14"/>
        <v>0</v>
      </c>
      <c r="N31" s="76">
        <f t="shared" si="24"/>
        <v>0</v>
      </c>
      <c r="O31" s="75">
        <f t="shared" si="15"/>
        <v>0</v>
      </c>
      <c r="P31" s="73"/>
      <c r="Q31" s="114" t="s">
        <v>119</v>
      </c>
      <c r="R31" s="78">
        <f t="shared" si="16"/>
        <v>0</v>
      </c>
      <c r="S31" s="76">
        <f t="shared" si="17"/>
        <v>0</v>
      </c>
      <c r="T31" s="75">
        <f t="shared" si="18"/>
        <v>0</v>
      </c>
      <c r="U31" s="73"/>
      <c r="V31" s="114" t="s">
        <v>119</v>
      </c>
      <c r="W31" s="78">
        <f t="shared" si="19"/>
        <v>0</v>
      </c>
    </row>
    <row r="32" spans="1:23" ht="12" customHeight="1" x14ac:dyDescent="0.2">
      <c r="A32" s="260" t="s">
        <v>173</v>
      </c>
      <c r="B32" s="73"/>
      <c r="C32" s="73"/>
      <c r="D32" s="73"/>
      <c r="E32" s="73"/>
      <c r="F32" s="345">
        <f t="shared" si="20"/>
        <v>0</v>
      </c>
      <c r="G32" s="75">
        <f t="shared" si="21"/>
        <v>0</v>
      </c>
      <c r="H32" s="75">
        <f t="shared" si="22"/>
        <v>0</v>
      </c>
      <c r="I32" s="76">
        <f t="shared" si="23"/>
        <v>0</v>
      </c>
      <c r="J32" s="75">
        <f t="shared" si="13"/>
        <v>0</v>
      </c>
      <c r="K32" s="73"/>
      <c r="L32" s="114" t="s">
        <v>119</v>
      </c>
      <c r="M32" s="77">
        <f t="shared" si="14"/>
        <v>0</v>
      </c>
      <c r="N32" s="76">
        <f t="shared" si="24"/>
        <v>0</v>
      </c>
      <c r="O32" s="75">
        <f t="shared" si="15"/>
        <v>0</v>
      </c>
      <c r="P32" s="73"/>
      <c r="Q32" s="114" t="s">
        <v>119</v>
      </c>
      <c r="R32" s="78">
        <f t="shared" si="16"/>
        <v>0</v>
      </c>
      <c r="S32" s="76">
        <f t="shared" si="17"/>
        <v>0</v>
      </c>
      <c r="T32" s="75">
        <f t="shared" si="18"/>
        <v>0</v>
      </c>
      <c r="U32" s="73"/>
      <c r="V32" s="114" t="s">
        <v>119</v>
      </c>
      <c r="W32" s="78">
        <f t="shared" si="19"/>
        <v>0</v>
      </c>
    </row>
    <row r="33" spans="1:23" ht="12" customHeight="1" x14ac:dyDescent="0.2">
      <c r="A33" s="260" t="s">
        <v>174</v>
      </c>
      <c r="B33" s="73"/>
      <c r="C33" s="73"/>
      <c r="D33" s="73"/>
      <c r="E33" s="73"/>
      <c r="F33" s="345">
        <f t="shared" si="20"/>
        <v>0</v>
      </c>
      <c r="G33" s="75">
        <f t="shared" si="21"/>
        <v>0</v>
      </c>
      <c r="H33" s="75">
        <f t="shared" si="22"/>
        <v>0</v>
      </c>
      <c r="I33" s="76">
        <f t="shared" si="23"/>
        <v>0</v>
      </c>
      <c r="J33" s="75">
        <f t="shared" si="13"/>
        <v>0</v>
      </c>
      <c r="K33" s="73"/>
      <c r="L33" s="114" t="s">
        <v>119</v>
      </c>
      <c r="M33" s="77">
        <f t="shared" si="14"/>
        <v>0</v>
      </c>
      <c r="N33" s="76">
        <f t="shared" si="24"/>
        <v>0</v>
      </c>
      <c r="O33" s="75">
        <f t="shared" si="15"/>
        <v>0</v>
      </c>
      <c r="P33" s="73"/>
      <c r="Q33" s="114" t="s">
        <v>119</v>
      </c>
      <c r="R33" s="78">
        <f t="shared" si="16"/>
        <v>0</v>
      </c>
      <c r="S33" s="76">
        <f t="shared" si="17"/>
        <v>0</v>
      </c>
      <c r="T33" s="75">
        <f t="shared" si="18"/>
        <v>0</v>
      </c>
      <c r="U33" s="73"/>
      <c r="V33" s="114" t="s">
        <v>119</v>
      </c>
      <c r="W33" s="78">
        <f t="shared" si="19"/>
        <v>0</v>
      </c>
    </row>
    <row r="34" spans="1:23" ht="12" customHeight="1" x14ac:dyDescent="0.2">
      <c r="A34" s="260" t="s">
        <v>175</v>
      </c>
      <c r="B34" s="73"/>
      <c r="C34" s="73"/>
      <c r="D34" s="73"/>
      <c r="E34" s="73"/>
      <c r="F34" s="345">
        <f t="shared" si="20"/>
        <v>0</v>
      </c>
      <c r="G34" s="75">
        <f t="shared" si="21"/>
        <v>0</v>
      </c>
      <c r="H34" s="75">
        <f t="shared" si="22"/>
        <v>0</v>
      </c>
      <c r="I34" s="76">
        <f t="shared" si="23"/>
        <v>0</v>
      </c>
      <c r="J34" s="75">
        <f t="shared" si="13"/>
        <v>0</v>
      </c>
      <c r="K34" s="73"/>
      <c r="L34" s="114" t="s">
        <v>119</v>
      </c>
      <c r="M34" s="77">
        <f t="shared" si="14"/>
        <v>0</v>
      </c>
      <c r="N34" s="76">
        <f t="shared" si="24"/>
        <v>0</v>
      </c>
      <c r="O34" s="75">
        <f t="shared" si="15"/>
        <v>0</v>
      </c>
      <c r="P34" s="73"/>
      <c r="Q34" s="114" t="s">
        <v>119</v>
      </c>
      <c r="R34" s="78">
        <f t="shared" si="16"/>
        <v>0</v>
      </c>
      <c r="S34" s="76">
        <f t="shared" si="17"/>
        <v>0</v>
      </c>
      <c r="T34" s="75">
        <f t="shared" si="18"/>
        <v>0</v>
      </c>
      <c r="U34" s="73"/>
      <c r="V34" s="114" t="s">
        <v>119</v>
      </c>
      <c r="W34" s="78">
        <f t="shared" si="19"/>
        <v>0</v>
      </c>
    </row>
    <row r="35" spans="1:23" ht="12" customHeight="1" x14ac:dyDescent="0.2">
      <c r="A35" s="260" t="s">
        <v>176</v>
      </c>
      <c r="B35" s="73"/>
      <c r="C35" s="73"/>
      <c r="D35" s="73"/>
      <c r="E35" s="73"/>
      <c r="F35" s="345">
        <f t="shared" si="20"/>
        <v>0</v>
      </c>
      <c r="G35" s="75">
        <f t="shared" si="21"/>
        <v>0</v>
      </c>
      <c r="H35" s="75">
        <f t="shared" si="22"/>
        <v>0</v>
      </c>
      <c r="I35" s="76">
        <f t="shared" si="23"/>
        <v>0</v>
      </c>
      <c r="J35" s="75">
        <f t="shared" si="13"/>
        <v>0</v>
      </c>
      <c r="K35" s="73"/>
      <c r="L35" s="114" t="s">
        <v>119</v>
      </c>
      <c r="M35" s="77">
        <f t="shared" si="14"/>
        <v>0</v>
      </c>
      <c r="N35" s="76">
        <f t="shared" si="24"/>
        <v>0</v>
      </c>
      <c r="O35" s="75">
        <f t="shared" si="15"/>
        <v>0</v>
      </c>
      <c r="P35" s="73"/>
      <c r="Q35" s="114" t="s">
        <v>119</v>
      </c>
      <c r="R35" s="78">
        <f t="shared" si="16"/>
        <v>0</v>
      </c>
      <c r="S35" s="76">
        <f t="shared" si="17"/>
        <v>0</v>
      </c>
      <c r="T35" s="75">
        <f t="shared" si="18"/>
        <v>0</v>
      </c>
      <c r="U35" s="73"/>
      <c r="V35" s="114" t="s">
        <v>119</v>
      </c>
      <c r="W35" s="78">
        <f t="shared" si="19"/>
        <v>0</v>
      </c>
    </row>
    <row r="36" spans="1:23" ht="12" customHeight="1" x14ac:dyDescent="0.2">
      <c r="A36" s="260" t="s">
        <v>177</v>
      </c>
      <c r="B36" s="73"/>
      <c r="C36" s="73"/>
      <c r="D36" s="73"/>
      <c r="E36" s="73"/>
      <c r="F36" s="345">
        <f t="shared" si="20"/>
        <v>0</v>
      </c>
      <c r="G36" s="75">
        <f t="shared" si="21"/>
        <v>0</v>
      </c>
      <c r="H36" s="75">
        <f t="shared" si="22"/>
        <v>0</v>
      </c>
      <c r="I36" s="76">
        <f t="shared" si="23"/>
        <v>0</v>
      </c>
      <c r="J36" s="75">
        <f t="shared" si="13"/>
        <v>0</v>
      </c>
      <c r="K36" s="73"/>
      <c r="L36" s="114" t="s">
        <v>119</v>
      </c>
      <c r="M36" s="77">
        <f t="shared" si="14"/>
        <v>0</v>
      </c>
      <c r="N36" s="76">
        <f t="shared" si="24"/>
        <v>0</v>
      </c>
      <c r="O36" s="75">
        <f t="shared" si="15"/>
        <v>0</v>
      </c>
      <c r="P36" s="73"/>
      <c r="Q36" s="114" t="s">
        <v>119</v>
      </c>
      <c r="R36" s="78">
        <f t="shared" si="16"/>
        <v>0</v>
      </c>
      <c r="S36" s="76">
        <f t="shared" si="17"/>
        <v>0</v>
      </c>
      <c r="T36" s="75">
        <f t="shared" si="18"/>
        <v>0</v>
      </c>
      <c r="U36" s="73"/>
      <c r="V36" s="114" t="s">
        <v>119</v>
      </c>
      <c r="W36" s="78">
        <f t="shared" si="19"/>
        <v>0</v>
      </c>
    </row>
    <row r="37" spans="1:23" ht="12" customHeight="1" x14ac:dyDescent="0.2">
      <c r="A37" s="260" t="s">
        <v>110</v>
      </c>
      <c r="B37" s="73"/>
      <c r="C37" s="73"/>
      <c r="D37" s="73"/>
      <c r="E37" s="73"/>
      <c r="F37" s="345">
        <f>M37</f>
        <v>0</v>
      </c>
      <c r="G37" s="75">
        <f>R37</f>
        <v>0</v>
      </c>
      <c r="H37" s="75">
        <f>W37</f>
        <v>0</v>
      </c>
      <c r="I37" s="76">
        <f t="shared" si="23"/>
        <v>0</v>
      </c>
      <c r="J37" s="75">
        <f t="shared" si="13"/>
        <v>0</v>
      </c>
      <c r="K37" s="73"/>
      <c r="L37" s="114" t="s">
        <v>119</v>
      </c>
      <c r="M37" s="77">
        <f>IF(L37="Trend",I37,IF(L37="CPI",J37,K37))</f>
        <v>0</v>
      </c>
      <c r="N37" s="76">
        <f t="shared" si="24"/>
        <v>0</v>
      </c>
      <c r="O37" s="75">
        <f t="shared" si="15"/>
        <v>0</v>
      </c>
      <c r="P37" s="73"/>
      <c r="Q37" s="114" t="s">
        <v>119</v>
      </c>
      <c r="R37" s="78">
        <f>IF(Q37="Trend",N37,IF(Q37="CPI",O37,P37))</f>
        <v>0</v>
      </c>
      <c r="S37" s="76">
        <f t="shared" si="17"/>
        <v>0</v>
      </c>
      <c r="T37" s="75">
        <f t="shared" si="18"/>
        <v>0</v>
      </c>
      <c r="U37" s="73"/>
      <c r="V37" s="114" t="s">
        <v>119</v>
      </c>
      <c r="W37" s="78">
        <f>IF(V37="Trend",S37,IF(V37="CPI",T37,U37))</f>
        <v>0</v>
      </c>
    </row>
    <row r="38" spans="1:23" ht="12" x14ac:dyDescent="0.2">
      <c r="A38" s="261" t="s">
        <v>178</v>
      </c>
      <c r="B38" s="73"/>
      <c r="C38" s="73"/>
      <c r="D38" s="73"/>
      <c r="E38" s="73"/>
      <c r="F38" s="345">
        <f t="shared" si="20"/>
        <v>0</v>
      </c>
      <c r="G38" s="75">
        <f t="shared" si="21"/>
        <v>0</v>
      </c>
      <c r="H38" s="75">
        <f t="shared" si="22"/>
        <v>0</v>
      </c>
      <c r="I38" s="76">
        <f t="shared" si="23"/>
        <v>0</v>
      </c>
      <c r="J38" s="75">
        <f t="shared" si="13"/>
        <v>0</v>
      </c>
      <c r="K38" s="73"/>
      <c r="L38" s="114" t="s">
        <v>119</v>
      </c>
      <c r="M38" s="77">
        <f t="shared" si="14"/>
        <v>0</v>
      </c>
      <c r="N38" s="76">
        <f t="shared" si="24"/>
        <v>0</v>
      </c>
      <c r="O38" s="75">
        <f t="shared" si="15"/>
        <v>0</v>
      </c>
      <c r="P38" s="73"/>
      <c r="Q38" s="114" t="s">
        <v>119</v>
      </c>
      <c r="R38" s="78">
        <f t="shared" si="16"/>
        <v>0</v>
      </c>
      <c r="S38" s="76">
        <f t="shared" si="17"/>
        <v>0</v>
      </c>
      <c r="T38" s="75">
        <f t="shared" si="18"/>
        <v>0</v>
      </c>
      <c r="U38" s="73"/>
      <c r="V38" s="114" t="s">
        <v>119</v>
      </c>
      <c r="W38" s="78">
        <f t="shared" si="19"/>
        <v>0</v>
      </c>
    </row>
    <row r="39" spans="1:23" ht="12" customHeight="1" x14ac:dyDescent="0.2">
      <c r="A39" s="261" t="s">
        <v>179</v>
      </c>
      <c r="B39" s="73"/>
      <c r="C39" s="73"/>
      <c r="D39" s="73"/>
      <c r="E39" s="73"/>
      <c r="F39" s="345">
        <f t="shared" si="20"/>
        <v>0</v>
      </c>
      <c r="G39" s="75">
        <f t="shared" si="21"/>
        <v>0</v>
      </c>
      <c r="H39" s="75">
        <f t="shared" si="22"/>
        <v>0</v>
      </c>
      <c r="I39" s="76">
        <f t="shared" si="23"/>
        <v>0</v>
      </c>
      <c r="J39" s="75">
        <f t="shared" si="13"/>
        <v>0</v>
      </c>
      <c r="K39" s="73"/>
      <c r="L39" s="114" t="s">
        <v>119</v>
      </c>
      <c r="M39" s="77">
        <f t="shared" si="14"/>
        <v>0</v>
      </c>
      <c r="N39" s="76">
        <f t="shared" si="24"/>
        <v>0</v>
      </c>
      <c r="O39" s="75">
        <f t="shared" si="15"/>
        <v>0</v>
      </c>
      <c r="P39" s="73"/>
      <c r="Q39" s="114" t="s">
        <v>119</v>
      </c>
      <c r="R39" s="78">
        <f t="shared" si="16"/>
        <v>0</v>
      </c>
      <c r="S39" s="76">
        <f t="shared" si="17"/>
        <v>0</v>
      </c>
      <c r="T39" s="75">
        <f t="shared" si="18"/>
        <v>0</v>
      </c>
      <c r="U39" s="73"/>
      <c r="V39" s="114" t="s">
        <v>119</v>
      </c>
      <c r="W39" s="78">
        <f t="shared" si="19"/>
        <v>0</v>
      </c>
    </row>
    <row r="40" spans="1:23" ht="12" customHeight="1" x14ac:dyDescent="0.2">
      <c r="A40" s="261" t="s">
        <v>180</v>
      </c>
      <c r="B40" s="73"/>
      <c r="C40" s="73"/>
      <c r="D40" s="73"/>
      <c r="E40" s="73"/>
      <c r="F40" s="345">
        <f t="shared" si="20"/>
        <v>0</v>
      </c>
      <c r="G40" s="75">
        <f t="shared" si="21"/>
        <v>0</v>
      </c>
      <c r="H40" s="75">
        <f t="shared" si="22"/>
        <v>0</v>
      </c>
      <c r="I40" s="76">
        <f t="shared" si="23"/>
        <v>0</v>
      </c>
      <c r="J40" s="75">
        <f t="shared" si="13"/>
        <v>0</v>
      </c>
      <c r="K40" s="73"/>
      <c r="L40" s="114" t="s">
        <v>119</v>
      </c>
      <c r="M40" s="77">
        <f t="shared" si="14"/>
        <v>0</v>
      </c>
      <c r="N40" s="76">
        <f t="shared" si="24"/>
        <v>0</v>
      </c>
      <c r="O40" s="75">
        <f t="shared" si="15"/>
        <v>0</v>
      </c>
      <c r="P40" s="73"/>
      <c r="Q40" s="114" t="s">
        <v>119</v>
      </c>
      <c r="R40" s="78">
        <f t="shared" si="16"/>
        <v>0</v>
      </c>
      <c r="S40" s="76">
        <f t="shared" si="17"/>
        <v>0</v>
      </c>
      <c r="T40" s="75">
        <f t="shared" si="18"/>
        <v>0</v>
      </c>
      <c r="U40" s="73"/>
      <c r="V40" s="114" t="s">
        <v>119</v>
      </c>
      <c r="W40" s="78">
        <f t="shared" si="19"/>
        <v>0</v>
      </c>
    </row>
    <row r="41" spans="1:23" ht="12" customHeight="1" x14ac:dyDescent="0.2">
      <c r="A41" s="261" t="s">
        <v>56</v>
      </c>
      <c r="B41" s="73"/>
      <c r="C41" s="73"/>
      <c r="D41" s="73"/>
      <c r="E41" s="73"/>
      <c r="F41" s="345">
        <f t="shared" si="20"/>
        <v>0</v>
      </c>
      <c r="G41" s="75">
        <f t="shared" si="21"/>
        <v>0</v>
      </c>
      <c r="H41" s="75">
        <f t="shared" si="22"/>
        <v>0</v>
      </c>
      <c r="I41" s="76">
        <f t="shared" si="23"/>
        <v>0</v>
      </c>
      <c r="J41" s="75">
        <f t="shared" si="13"/>
        <v>0</v>
      </c>
      <c r="K41" s="73"/>
      <c r="L41" s="114" t="s">
        <v>119</v>
      </c>
      <c r="M41" s="77">
        <f t="shared" si="14"/>
        <v>0</v>
      </c>
      <c r="N41" s="76">
        <f t="shared" si="24"/>
        <v>0</v>
      </c>
      <c r="O41" s="75">
        <f t="shared" si="15"/>
        <v>0</v>
      </c>
      <c r="P41" s="73"/>
      <c r="Q41" s="114" t="s">
        <v>119</v>
      </c>
      <c r="R41" s="78">
        <f t="shared" si="16"/>
        <v>0</v>
      </c>
      <c r="S41" s="76">
        <f t="shared" si="17"/>
        <v>0</v>
      </c>
      <c r="T41" s="75">
        <f t="shared" si="18"/>
        <v>0</v>
      </c>
      <c r="U41" s="73"/>
      <c r="V41" s="114" t="s">
        <v>119</v>
      </c>
      <c r="W41" s="78">
        <f t="shared" si="19"/>
        <v>0</v>
      </c>
    </row>
    <row r="42" spans="1:23" ht="12" customHeight="1" x14ac:dyDescent="0.2">
      <c r="A42" s="261" t="s">
        <v>14</v>
      </c>
      <c r="B42" s="73"/>
      <c r="C42" s="73"/>
      <c r="D42" s="73"/>
      <c r="E42" s="73"/>
      <c r="F42" s="345">
        <f t="shared" si="20"/>
        <v>0</v>
      </c>
      <c r="G42" s="75">
        <f t="shared" si="21"/>
        <v>0</v>
      </c>
      <c r="H42" s="75">
        <f t="shared" si="22"/>
        <v>0</v>
      </c>
      <c r="I42" s="76">
        <f t="shared" si="23"/>
        <v>0</v>
      </c>
      <c r="J42" s="75">
        <f t="shared" si="13"/>
        <v>0</v>
      </c>
      <c r="K42" s="73"/>
      <c r="L42" s="114" t="s">
        <v>119</v>
      </c>
      <c r="M42" s="77">
        <f t="shared" si="14"/>
        <v>0</v>
      </c>
      <c r="N42" s="76">
        <f t="shared" si="24"/>
        <v>0</v>
      </c>
      <c r="O42" s="75">
        <f t="shared" si="15"/>
        <v>0</v>
      </c>
      <c r="P42" s="73"/>
      <c r="Q42" s="114" t="s">
        <v>119</v>
      </c>
      <c r="R42" s="78">
        <f t="shared" si="16"/>
        <v>0</v>
      </c>
      <c r="S42" s="76">
        <f t="shared" si="17"/>
        <v>0</v>
      </c>
      <c r="T42" s="75">
        <f t="shared" si="18"/>
        <v>0</v>
      </c>
      <c r="U42" s="73"/>
      <c r="V42" s="114" t="s">
        <v>119</v>
      </c>
      <c r="W42" s="78">
        <f t="shared" si="19"/>
        <v>0</v>
      </c>
    </row>
    <row r="43" spans="1:23" ht="12" customHeight="1" x14ac:dyDescent="0.2">
      <c r="A43" s="261" t="s">
        <v>57</v>
      </c>
      <c r="B43" s="73"/>
      <c r="C43" s="73"/>
      <c r="D43" s="73"/>
      <c r="E43" s="73"/>
      <c r="F43" s="345">
        <f t="shared" si="20"/>
        <v>0</v>
      </c>
      <c r="G43" s="75">
        <f t="shared" si="21"/>
        <v>0</v>
      </c>
      <c r="H43" s="75">
        <f t="shared" si="22"/>
        <v>0</v>
      </c>
      <c r="I43" s="76">
        <f t="shared" si="23"/>
        <v>0</v>
      </c>
      <c r="J43" s="75">
        <f t="shared" si="13"/>
        <v>0</v>
      </c>
      <c r="K43" s="73"/>
      <c r="L43" s="114" t="s">
        <v>119</v>
      </c>
      <c r="M43" s="77">
        <f t="shared" si="14"/>
        <v>0</v>
      </c>
      <c r="N43" s="76">
        <f t="shared" si="24"/>
        <v>0</v>
      </c>
      <c r="O43" s="75">
        <f t="shared" si="15"/>
        <v>0</v>
      </c>
      <c r="P43" s="73"/>
      <c r="Q43" s="114" t="s">
        <v>119</v>
      </c>
      <c r="R43" s="78">
        <f t="shared" si="16"/>
        <v>0</v>
      </c>
      <c r="S43" s="76">
        <f t="shared" si="17"/>
        <v>0</v>
      </c>
      <c r="T43" s="75">
        <f t="shared" si="18"/>
        <v>0</v>
      </c>
      <c r="U43" s="73"/>
      <c r="V43" s="114" t="s">
        <v>119</v>
      </c>
      <c r="W43" s="78">
        <f t="shared" si="19"/>
        <v>0</v>
      </c>
    </row>
    <row r="44" spans="1:23" ht="12" customHeight="1" x14ac:dyDescent="0.2">
      <c r="A44" s="261" t="s">
        <v>181</v>
      </c>
      <c r="B44" s="73"/>
      <c r="C44" s="73"/>
      <c r="D44" s="73"/>
      <c r="E44" s="73"/>
      <c r="F44" s="345">
        <f t="shared" si="20"/>
        <v>0</v>
      </c>
      <c r="G44" s="75">
        <f t="shared" si="21"/>
        <v>0</v>
      </c>
      <c r="H44" s="75">
        <f t="shared" si="22"/>
        <v>0</v>
      </c>
      <c r="I44" s="76">
        <f t="shared" si="23"/>
        <v>0</v>
      </c>
      <c r="J44" s="75">
        <f t="shared" si="13"/>
        <v>0</v>
      </c>
      <c r="K44" s="73"/>
      <c r="L44" s="114" t="s">
        <v>119</v>
      </c>
      <c r="M44" s="77">
        <f t="shared" si="14"/>
        <v>0</v>
      </c>
      <c r="N44" s="76">
        <f t="shared" si="24"/>
        <v>0</v>
      </c>
      <c r="O44" s="75">
        <f t="shared" si="15"/>
        <v>0</v>
      </c>
      <c r="P44" s="73"/>
      <c r="Q44" s="114" t="s">
        <v>119</v>
      </c>
      <c r="R44" s="78">
        <f t="shared" si="16"/>
        <v>0</v>
      </c>
      <c r="S44" s="76">
        <f t="shared" si="17"/>
        <v>0</v>
      </c>
      <c r="T44" s="75">
        <f t="shared" si="18"/>
        <v>0</v>
      </c>
      <c r="U44" s="73"/>
      <c r="V44" s="114" t="s">
        <v>119</v>
      </c>
      <c r="W44" s="78">
        <f t="shared" si="19"/>
        <v>0</v>
      </c>
    </row>
    <row r="45" spans="1:23" ht="12" customHeight="1" x14ac:dyDescent="0.2">
      <c r="A45" s="261" t="s">
        <v>182</v>
      </c>
      <c r="B45" s="73"/>
      <c r="C45" s="73"/>
      <c r="D45" s="73"/>
      <c r="E45" s="73"/>
      <c r="F45" s="345">
        <f t="shared" si="20"/>
        <v>0</v>
      </c>
      <c r="G45" s="75">
        <f t="shared" si="21"/>
        <v>0</v>
      </c>
      <c r="H45" s="75">
        <f t="shared" si="22"/>
        <v>0</v>
      </c>
      <c r="I45" s="76">
        <f t="shared" si="23"/>
        <v>0</v>
      </c>
      <c r="J45" s="75">
        <f t="shared" si="13"/>
        <v>0</v>
      </c>
      <c r="K45" s="73"/>
      <c r="L45" s="114" t="s">
        <v>119</v>
      </c>
      <c r="M45" s="77">
        <f t="shared" si="14"/>
        <v>0</v>
      </c>
      <c r="N45" s="76">
        <f t="shared" si="24"/>
        <v>0</v>
      </c>
      <c r="O45" s="75">
        <f t="shared" si="15"/>
        <v>0</v>
      </c>
      <c r="P45" s="73"/>
      <c r="Q45" s="114" t="s">
        <v>119</v>
      </c>
      <c r="R45" s="78">
        <f t="shared" si="16"/>
        <v>0</v>
      </c>
      <c r="S45" s="76">
        <f t="shared" si="17"/>
        <v>0</v>
      </c>
      <c r="T45" s="75">
        <f t="shared" si="18"/>
        <v>0</v>
      </c>
      <c r="U45" s="73"/>
      <c r="V45" s="114" t="s">
        <v>119</v>
      </c>
      <c r="W45" s="78">
        <f t="shared" si="19"/>
        <v>0</v>
      </c>
    </row>
    <row r="46" spans="1:23" ht="12" customHeight="1" x14ac:dyDescent="0.2">
      <c r="A46" s="261" t="s">
        <v>58</v>
      </c>
      <c r="B46" s="73"/>
      <c r="C46" s="73"/>
      <c r="D46" s="73"/>
      <c r="E46" s="73"/>
      <c r="F46" s="345">
        <f t="shared" si="20"/>
        <v>0</v>
      </c>
      <c r="G46" s="75">
        <f t="shared" si="21"/>
        <v>0</v>
      </c>
      <c r="H46" s="75">
        <f t="shared" si="22"/>
        <v>0</v>
      </c>
      <c r="I46" s="76">
        <f t="shared" si="23"/>
        <v>0</v>
      </c>
      <c r="J46" s="75">
        <f t="shared" si="13"/>
        <v>0</v>
      </c>
      <c r="K46" s="73"/>
      <c r="L46" s="114" t="s">
        <v>119</v>
      </c>
      <c r="M46" s="77">
        <f t="shared" si="14"/>
        <v>0</v>
      </c>
      <c r="N46" s="76">
        <f t="shared" si="24"/>
        <v>0</v>
      </c>
      <c r="O46" s="75">
        <f t="shared" si="15"/>
        <v>0</v>
      </c>
      <c r="P46" s="73"/>
      <c r="Q46" s="114" t="s">
        <v>119</v>
      </c>
      <c r="R46" s="78">
        <f t="shared" si="16"/>
        <v>0</v>
      </c>
      <c r="S46" s="76">
        <f t="shared" si="17"/>
        <v>0</v>
      </c>
      <c r="T46" s="75">
        <f t="shared" si="18"/>
        <v>0</v>
      </c>
      <c r="U46" s="73"/>
      <c r="V46" s="114" t="s">
        <v>119</v>
      </c>
      <c r="W46" s="78">
        <f t="shared" si="19"/>
        <v>0</v>
      </c>
    </row>
    <row r="47" spans="1:23" ht="12" customHeight="1" x14ac:dyDescent="0.2">
      <c r="A47" s="261" t="s">
        <v>59</v>
      </c>
      <c r="B47" s="73"/>
      <c r="C47" s="73"/>
      <c r="D47" s="73"/>
      <c r="E47" s="73"/>
      <c r="F47" s="345">
        <f t="shared" si="20"/>
        <v>0</v>
      </c>
      <c r="G47" s="75">
        <f t="shared" si="21"/>
        <v>0</v>
      </c>
      <c r="H47" s="75">
        <f t="shared" si="22"/>
        <v>0</v>
      </c>
      <c r="I47" s="76">
        <f t="shared" si="23"/>
        <v>0</v>
      </c>
      <c r="J47" s="75">
        <f t="shared" si="13"/>
        <v>0</v>
      </c>
      <c r="K47" s="73"/>
      <c r="L47" s="114" t="s">
        <v>119</v>
      </c>
      <c r="M47" s="77">
        <f t="shared" si="14"/>
        <v>0</v>
      </c>
      <c r="N47" s="76">
        <f t="shared" si="24"/>
        <v>0</v>
      </c>
      <c r="O47" s="75">
        <f t="shared" si="15"/>
        <v>0</v>
      </c>
      <c r="P47" s="73"/>
      <c r="Q47" s="114" t="s">
        <v>119</v>
      </c>
      <c r="R47" s="78">
        <f t="shared" si="16"/>
        <v>0</v>
      </c>
      <c r="S47" s="76">
        <f t="shared" si="17"/>
        <v>0</v>
      </c>
      <c r="T47" s="75">
        <f t="shared" si="18"/>
        <v>0</v>
      </c>
      <c r="U47" s="73"/>
      <c r="V47" s="114" t="s">
        <v>119</v>
      </c>
      <c r="W47" s="78">
        <f t="shared" si="19"/>
        <v>0</v>
      </c>
    </row>
    <row r="48" spans="1:23" ht="12" customHeight="1" x14ac:dyDescent="0.2">
      <c r="A48" s="261" t="s">
        <v>60</v>
      </c>
      <c r="B48" s="73"/>
      <c r="C48" s="73"/>
      <c r="D48" s="73"/>
      <c r="E48" s="73"/>
      <c r="F48" s="345">
        <f t="shared" si="20"/>
        <v>0</v>
      </c>
      <c r="G48" s="75">
        <f t="shared" si="21"/>
        <v>0</v>
      </c>
      <c r="H48" s="75">
        <f t="shared" si="22"/>
        <v>0</v>
      </c>
      <c r="I48" s="76">
        <f t="shared" si="23"/>
        <v>0</v>
      </c>
      <c r="J48" s="75">
        <f t="shared" si="13"/>
        <v>0</v>
      </c>
      <c r="K48" s="73"/>
      <c r="L48" s="114" t="s">
        <v>119</v>
      </c>
      <c r="M48" s="77">
        <f t="shared" si="14"/>
        <v>0</v>
      </c>
      <c r="N48" s="76">
        <f t="shared" si="24"/>
        <v>0</v>
      </c>
      <c r="O48" s="75">
        <f t="shared" si="15"/>
        <v>0</v>
      </c>
      <c r="P48" s="73"/>
      <c r="Q48" s="114" t="s">
        <v>119</v>
      </c>
      <c r="R48" s="78">
        <f t="shared" si="16"/>
        <v>0</v>
      </c>
      <c r="S48" s="76">
        <f t="shared" si="17"/>
        <v>0</v>
      </c>
      <c r="T48" s="75">
        <f t="shared" si="18"/>
        <v>0</v>
      </c>
      <c r="U48" s="73"/>
      <c r="V48" s="114" t="s">
        <v>119</v>
      </c>
      <c r="W48" s="78">
        <f t="shared" si="19"/>
        <v>0</v>
      </c>
    </row>
    <row r="49" spans="1:23" ht="12" customHeight="1" x14ac:dyDescent="0.2">
      <c r="A49" s="261" t="s">
        <v>61</v>
      </c>
      <c r="B49" s="73"/>
      <c r="C49" s="73"/>
      <c r="D49" s="73"/>
      <c r="E49" s="73"/>
      <c r="F49" s="345">
        <f t="shared" si="20"/>
        <v>0</v>
      </c>
      <c r="G49" s="75">
        <f t="shared" si="21"/>
        <v>0</v>
      </c>
      <c r="H49" s="75">
        <f t="shared" si="22"/>
        <v>0</v>
      </c>
      <c r="I49" s="76">
        <f t="shared" si="23"/>
        <v>0</v>
      </c>
      <c r="J49" s="75">
        <f t="shared" si="13"/>
        <v>0</v>
      </c>
      <c r="K49" s="73"/>
      <c r="L49" s="114" t="s">
        <v>119</v>
      </c>
      <c r="M49" s="77">
        <f t="shared" si="14"/>
        <v>0</v>
      </c>
      <c r="N49" s="76">
        <f t="shared" si="24"/>
        <v>0</v>
      </c>
      <c r="O49" s="75">
        <f t="shared" si="15"/>
        <v>0</v>
      </c>
      <c r="P49" s="73"/>
      <c r="Q49" s="114" t="s">
        <v>119</v>
      </c>
      <c r="R49" s="78">
        <f t="shared" si="16"/>
        <v>0</v>
      </c>
      <c r="S49" s="76">
        <f t="shared" si="17"/>
        <v>0</v>
      </c>
      <c r="T49" s="75">
        <f t="shared" si="18"/>
        <v>0</v>
      </c>
      <c r="U49" s="73"/>
      <c r="V49" s="114" t="s">
        <v>119</v>
      </c>
      <c r="W49" s="78">
        <f t="shared" si="19"/>
        <v>0</v>
      </c>
    </row>
    <row r="50" spans="1:23" ht="12" customHeight="1" x14ac:dyDescent="0.2">
      <c r="A50" s="261" t="s">
        <v>183</v>
      </c>
      <c r="B50" s="73"/>
      <c r="C50" s="73"/>
      <c r="D50" s="73"/>
      <c r="E50" s="73"/>
      <c r="F50" s="345">
        <f t="shared" si="20"/>
        <v>0</v>
      </c>
      <c r="G50" s="75">
        <f t="shared" si="21"/>
        <v>0</v>
      </c>
      <c r="H50" s="75">
        <f t="shared" si="22"/>
        <v>0</v>
      </c>
      <c r="I50" s="76">
        <f>IF(B50="",IF(C50="",IF(D50="",E50,TREND(D50:E50,$D$6:$E$6,$F$6,TRUE)),TREND(C50:E50,$C$6:$E$6,$F$6,TRUE)),TREND(B50:E50,$B$6:$E$6,$F$6,TRUE))</f>
        <v>0</v>
      </c>
      <c r="J50" s="75">
        <f t="shared" si="13"/>
        <v>0</v>
      </c>
      <c r="K50" s="73"/>
      <c r="L50" s="114" t="s">
        <v>119</v>
      </c>
      <c r="M50" s="77">
        <f t="shared" si="14"/>
        <v>0</v>
      </c>
      <c r="N50" s="76">
        <f t="shared" si="24"/>
        <v>0</v>
      </c>
      <c r="O50" s="75">
        <f t="shared" si="15"/>
        <v>0</v>
      </c>
      <c r="P50" s="73"/>
      <c r="Q50" s="114" t="s">
        <v>119</v>
      </c>
      <c r="R50" s="78">
        <f t="shared" si="16"/>
        <v>0</v>
      </c>
      <c r="S50" s="76">
        <f t="shared" si="17"/>
        <v>0</v>
      </c>
      <c r="T50" s="75">
        <f t="shared" si="18"/>
        <v>0</v>
      </c>
      <c r="U50" s="73"/>
      <c r="V50" s="114" t="s">
        <v>119</v>
      </c>
      <c r="W50" s="78">
        <f t="shared" si="19"/>
        <v>0</v>
      </c>
    </row>
    <row r="51" spans="1:23" ht="12" customHeight="1" x14ac:dyDescent="0.2">
      <c r="A51" s="261" t="s">
        <v>62</v>
      </c>
      <c r="B51" s="73"/>
      <c r="C51" s="73"/>
      <c r="D51" s="73"/>
      <c r="E51" s="73"/>
      <c r="F51" s="345">
        <f t="shared" si="20"/>
        <v>0</v>
      </c>
      <c r="G51" s="75">
        <f t="shared" si="21"/>
        <v>0</v>
      </c>
      <c r="H51" s="75">
        <f t="shared" si="22"/>
        <v>0</v>
      </c>
      <c r="I51" s="76">
        <f t="shared" si="23"/>
        <v>0</v>
      </c>
      <c r="J51" s="75">
        <f t="shared" si="13"/>
        <v>0</v>
      </c>
      <c r="K51" s="73"/>
      <c r="L51" s="114" t="s">
        <v>119</v>
      </c>
      <c r="M51" s="77">
        <f t="shared" si="14"/>
        <v>0</v>
      </c>
      <c r="N51" s="76">
        <f t="shared" si="24"/>
        <v>0</v>
      </c>
      <c r="O51" s="75">
        <f t="shared" si="15"/>
        <v>0</v>
      </c>
      <c r="P51" s="73"/>
      <c r="Q51" s="114" t="s">
        <v>119</v>
      </c>
      <c r="R51" s="78">
        <f t="shared" si="16"/>
        <v>0</v>
      </c>
      <c r="S51" s="76">
        <f t="shared" si="17"/>
        <v>0</v>
      </c>
      <c r="T51" s="75">
        <f t="shared" si="18"/>
        <v>0</v>
      </c>
      <c r="U51" s="73"/>
      <c r="V51" s="114" t="s">
        <v>119</v>
      </c>
      <c r="W51" s="78">
        <f t="shared" si="19"/>
        <v>0</v>
      </c>
    </row>
    <row r="52" spans="1:23" ht="12" customHeight="1" x14ac:dyDescent="0.2">
      <c r="A52" s="261" t="s">
        <v>63</v>
      </c>
      <c r="B52" s="73"/>
      <c r="C52" s="73"/>
      <c r="D52" s="73"/>
      <c r="E52" s="73"/>
      <c r="F52" s="345">
        <f t="shared" si="20"/>
        <v>0</v>
      </c>
      <c r="G52" s="75">
        <f t="shared" si="21"/>
        <v>0</v>
      </c>
      <c r="H52" s="75">
        <f t="shared" si="22"/>
        <v>0</v>
      </c>
      <c r="I52" s="76">
        <f t="shared" si="23"/>
        <v>0</v>
      </c>
      <c r="J52" s="75">
        <f t="shared" si="13"/>
        <v>0</v>
      </c>
      <c r="K52" s="73"/>
      <c r="L52" s="114" t="s">
        <v>119</v>
      </c>
      <c r="M52" s="77">
        <f t="shared" si="14"/>
        <v>0</v>
      </c>
      <c r="N52" s="76">
        <f t="shared" si="24"/>
        <v>0</v>
      </c>
      <c r="O52" s="75">
        <f t="shared" si="15"/>
        <v>0</v>
      </c>
      <c r="P52" s="73"/>
      <c r="Q52" s="114" t="s">
        <v>119</v>
      </c>
      <c r="R52" s="78">
        <f t="shared" si="16"/>
        <v>0</v>
      </c>
      <c r="S52" s="76">
        <f t="shared" si="17"/>
        <v>0</v>
      </c>
      <c r="T52" s="75">
        <f t="shared" si="18"/>
        <v>0</v>
      </c>
      <c r="U52" s="73"/>
      <c r="V52" s="114" t="s">
        <v>119</v>
      </c>
      <c r="W52" s="78">
        <f t="shared" si="19"/>
        <v>0</v>
      </c>
    </row>
    <row r="53" spans="1:23" ht="12" customHeight="1" x14ac:dyDescent="0.2">
      <c r="A53" s="261" t="s">
        <v>184</v>
      </c>
      <c r="B53" s="73"/>
      <c r="C53" s="73"/>
      <c r="D53" s="73"/>
      <c r="E53" s="73"/>
      <c r="F53" s="345">
        <f t="shared" si="20"/>
        <v>0</v>
      </c>
      <c r="G53" s="75">
        <f t="shared" si="21"/>
        <v>0</v>
      </c>
      <c r="H53" s="75">
        <f t="shared" si="22"/>
        <v>0</v>
      </c>
      <c r="I53" s="76">
        <f t="shared" si="23"/>
        <v>0</v>
      </c>
      <c r="J53" s="75">
        <f t="shared" si="13"/>
        <v>0</v>
      </c>
      <c r="K53" s="73"/>
      <c r="L53" s="114" t="s">
        <v>119</v>
      </c>
      <c r="M53" s="77">
        <f t="shared" si="14"/>
        <v>0</v>
      </c>
      <c r="N53" s="76">
        <f t="shared" si="24"/>
        <v>0</v>
      </c>
      <c r="O53" s="75">
        <f t="shared" si="15"/>
        <v>0</v>
      </c>
      <c r="P53" s="73"/>
      <c r="Q53" s="114" t="s">
        <v>119</v>
      </c>
      <c r="R53" s="78">
        <f t="shared" si="16"/>
        <v>0</v>
      </c>
      <c r="S53" s="76">
        <f t="shared" si="17"/>
        <v>0</v>
      </c>
      <c r="T53" s="75">
        <f t="shared" si="18"/>
        <v>0</v>
      </c>
      <c r="U53" s="73"/>
      <c r="V53" s="114" t="s">
        <v>119</v>
      </c>
      <c r="W53" s="78">
        <f t="shared" si="19"/>
        <v>0</v>
      </c>
    </row>
    <row r="54" spans="1:23" ht="12" customHeight="1" x14ac:dyDescent="0.2">
      <c r="A54" s="261" t="s">
        <v>185</v>
      </c>
      <c r="B54" s="73"/>
      <c r="C54" s="73"/>
      <c r="D54" s="73"/>
      <c r="E54" s="73"/>
      <c r="F54" s="345">
        <f t="shared" si="20"/>
        <v>0</v>
      </c>
      <c r="G54" s="75">
        <f t="shared" si="21"/>
        <v>0</v>
      </c>
      <c r="H54" s="75">
        <f t="shared" si="22"/>
        <v>0</v>
      </c>
      <c r="I54" s="76">
        <f t="shared" si="23"/>
        <v>0</v>
      </c>
      <c r="J54" s="75">
        <f t="shared" si="13"/>
        <v>0</v>
      </c>
      <c r="K54" s="73"/>
      <c r="L54" s="114" t="s">
        <v>119</v>
      </c>
      <c r="M54" s="77">
        <f t="shared" si="14"/>
        <v>0</v>
      </c>
      <c r="N54" s="76">
        <f t="shared" si="24"/>
        <v>0</v>
      </c>
      <c r="O54" s="75">
        <f t="shared" si="15"/>
        <v>0</v>
      </c>
      <c r="P54" s="73"/>
      <c r="Q54" s="114" t="s">
        <v>119</v>
      </c>
      <c r="R54" s="78">
        <f t="shared" si="16"/>
        <v>0</v>
      </c>
      <c r="S54" s="76">
        <f t="shared" si="17"/>
        <v>0</v>
      </c>
      <c r="T54" s="75">
        <f t="shared" si="18"/>
        <v>0</v>
      </c>
      <c r="U54" s="73"/>
      <c r="V54" s="114" t="s">
        <v>119</v>
      </c>
      <c r="W54" s="78">
        <f t="shared" si="19"/>
        <v>0</v>
      </c>
    </row>
    <row r="55" spans="1:23" ht="12" customHeight="1" x14ac:dyDescent="0.2">
      <c r="A55" s="261" t="s">
        <v>186</v>
      </c>
      <c r="B55" s="73"/>
      <c r="C55" s="73"/>
      <c r="D55" s="73"/>
      <c r="E55" s="73"/>
      <c r="F55" s="345">
        <f t="shared" si="20"/>
        <v>0</v>
      </c>
      <c r="G55" s="75">
        <f t="shared" si="21"/>
        <v>0</v>
      </c>
      <c r="H55" s="75">
        <f t="shared" si="22"/>
        <v>0</v>
      </c>
      <c r="I55" s="76">
        <f t="shared" si="23"/>
        <v>0</v>
      </c>
      <c r="J55" s="75">
        <f t="shared" si="13"/>
        <v>0</v>
      </c>
      <c r="K55" s="73"/>
      <c r="L55" s="114" t="s">
        <v>119</v>
      </c>
      <c r="M55" s="77">
        <f t="shared" si="14"/>
        <v>0</v>
      </c>
      <c r="N55" s="76">
        <f t="shared" si="24"/>
        <v>0</v>
      </c>
      <c r="O55" s="75">
        <f t="shared" si="15"/>
        <v>0</v>
      </c>
      <c r="P55" s="73"/>
      <c r="Q55" s="114" t="s">
        <v>119</v>
      </c>
      <c r="R55" s="78">
        <f t="shared" si="16"/>
        <v>0</v>
      </c>
      <c r="S55" s="76">
        <f t="shared" si="17"/>
        <v>0</v>
      </c>
      <c r="T55" s="75">
        <f t="shared" si="18"/>
        <v>0</v>
      </c>
      <c r="U55" s="73"/>
      <c r="V55" s="114" t="s">
        <v>119</v>
      </c>
      <c r="W55" s="78">
        <f t="shared" si="19"/>
        <v>0</v>
      </c>
    </row>
    <row r="56" spans="1:23" ht="12" customHeight="1" x14ac:dyDescent="0.2">
      <c r="A56" s="261" t="s">
        <v>187</v>
      </c>
      <c r="B56" s="73"/>
      <c r="C56" s="73"/>
      <c r="D56" s="73"/>
      <c r="E56" s="73"/>
      <c r="F56" s="345">
        <f t="shared" si="20"/>
        <v>0</v>
      </c>
      <c r="G56" s="75">
        <f t="shared" si="21"/>
        <v>0</v>
      </c>
      <c r="H56" s="75">
        <f t="shared" si="22"/>
        <v>0</v>
      </c>
      <c r="I56" s="76">
        <f t="shared" si="23"/>
        <v>0</v>
      </c>
      <c r="J56" s="75">
        <f t="shared" si="13"/>
        <v>0</v>
      </c>
      <c r="K56" s="73"/>
      <c r="L56" s="114" t="s">
        <v>119</v>
      </c>
      <c r="M56" s="77">
        <f t="shared" si="14"/>
        <v>0</v>
      </c>
      <c r="N56" s="76">
        <f t="shared" si="24"/>
        <v>0</v>
      </c>
      <c r="O56" s="75">
        <f t="shared" ref="O56:O87" si="25">M56*(1+$R$3)</f>
        <v>0</v>
      </c>
      <c r="P56" s="73"/>
      <c r="Q56" s="114" t="s">
        <v>119</v>
      </c>
      <c r="R56" s="78">
        <f t="shared" si="16"/>
        <v>0</v>
      </c>
      <c r="S56" s="76">
        <f t="shared" si="17"/>
        <v>0</v>
      </c>
      <c r="T56" s="75">
        <f t="shared" ref="T56:T87" si="26">R56*(1+$W$3)</f>
        <v>0</v>
      </c>
      <c r="U56" s="73"/>
      <c r="V56" s="114" t="s">
        <v>119</v>
      </c>
      <c r="W56" s="78">
        <f t="shared" si="19"/>
        <v>0</v>
      </c>
    </row>
    <row r="57" spans="1:23" ht="12" customHeight="1" x14ac:dyDescent="0.2">
      <c r="A57" s="261" t="s">
        <v>188</v>
      </c>
      <c r="B57" s="73"/>
      <c r="C57" s="73"/>
      <c r="D57" s="73"/>
      <c r="E57" s="73"/>
      <c r="F57" s="345">
        <f t="shared" si="20"/>
        <v>0</v>
      </c>
      <c r="G57" s="75">
        <f t="shared" si="21"/>
        <v>0</v>
      </c>
      <c r="H57" s="75">
        <f t="shared" si="22"/>
        <v>0</v>
      </c>
      <c r="I57" s="76">
        <f t="shared" si="23"/>
        <v>0</v>
      </c>
      <c r="J57" s="75">
        <f t="shared" si="13"/>
        <v>0</v>
      </c>
      <c r="K57" s="73"/>
      <c r="L57" s="114" t="s">
        <v>119</v>
      </c>
      <c r="M57" s="77">
        <f t="shared" si="14"/>
        <v>0</v>
      </c>
      <c r="N57" s="76">
        <f t="shared" si="24"/>
        <v>0</v>
      </c>
      <c r="O57" s="75">
        <f t="shared" si="25"/>
        <v>0</v>
      </c>
      <c r="P57" s="73"/>
      <c r="Q57" s="114" t="s">
        <v>119</v>
      </c>
      <c r="R57" s="78">
        <f t="shared" si="16"/>
        <v>0</v>
      </c>
      <c r="S57" s="76">
        <f t="shared" si="17"/>
        <v>0</v>
      </c>
      <c r="T57" s="75">
        <f t="shared" si="26"/>
        <v>0</v>
      </c>
      <c r="U57" s="73"/>
      <c r="V57" s="114" t="s">
        <v>119</v>
      </c>
      <c r="W57" s="78">
        <f t="shared" si="19"/>
        <v>0</v>
      </c>
    </row>
    <row r="58" spans="1:23" ht="12" x14ac:dyDescent="0.2">
      <c r="A58" s="261" t="s">
        <v>64</v>
      </c>
      <c r="B58" s="73"/>
      <c r="C58" s="73"/>
      <c r="D58" s="73"/>
      <c r="E58" s="73"/>
      <c r="F58" s="345">
        <f t="shared" si="20"/>
        <v>0</v>
      </c>
      <c r="G58" s="75">
        <f t="shared" si="21"/>
        <v>0</v>
      </c>
      <c r="H58" s="75">
        <f t="shared" si="22"/>
        <v>0</v>
      </c>
      <c r="I58" s="76">
        <f t="shared" si="23"/>
        <v>0</v>
      </c>
      <c r="J58" s="75">
        <f t="shared" si="13"/>
        <v>0</v>
      </c>
      <c r="K58" s="73"/>
      <c r="L58" s="114" t="s">
        <v>119</v>
      </c>
      <c r="M58" s="77">
        <f t="shared" si="14"/>
        <v>0</v>
      </c>
      <c r="N58" s="76">
        <f t="shared" si="24"/>
        <v>0</v>
      </c>
      <c r="O58" s="75">
        <f t="shared" si="25"/>
        <v>0</v>
      </c>
      <c r="P58" s="73"/>
      <c r="Q58" s="114" t="s">
        <v>119</v>
      </c>
      <c r="R58" s="78">
        <f t="shared" si="16"/>
        <v>0</v>
      </c>
      <c r="S58" s="76">
        <f t="shared" si="17"/>
        <v>0</v>
      </c>
      <c r="T58" s="75">
        <f t="shared" si="26"/>
        <v>0</v>
      </c>
      <c r="U58" s="73"/>
      <c r="V58" s="114" t="s">
        <v>119</v>
      </c>
      <c r="W58" s="78">
        <f t="shared" si="19"/>
        <v>0</v>
      </c>
    </row>
    <row r="59" spans="1:23" ht="12" x14ac:dyDescent="0.2">
      <c r="A59" s="261" t="s">
        <v>189</v>
      </c>
      <c r="B59" s="73"/>
      <c r="C59" s="73"/>
      <c r="D59" s="73"/>
      <c r="E59" s="73"/>
      <c r="F59" s="345">
        <f t="shared" si="20"/>
        <v>0</v>
      </c>
      <c r="G59" s="75">
        <f t="shared" si="21"/>
        <v>0</v>
      </c>
      <c r="H59" s="75">
        <f t="shared" si="22"/>
        <v>0</v>
      </c>
      <c r="I59" s="76">
        <f t="shared" si="23"/>
        <v>0</v>
      </c>
      <c r="J59" s="75">
        <f t="shared" si="13"/>
        <v>0</v>
      </c>
      <c r="K59" s="73"/>
      <c r="L59" s="114" t="s">
        <v>119</v>
      </c>
      <c r="M59" s="77">
        <f t="shared" si="14"/>
        <v>0</v>
      </c>
      <c r="N59" s="76">
        <f t="shared" si="24"/>
        <v>0</v>
      </c>
      <c r="O59" s="75">
        <f t="shared" si="25"/>
        <v>0</v>
      </c>
      <c r="P59" s="73"/>
      <c r="Q59" s="114" t="s">
        <v>119</v>
      </c>
      <c r="R59" s="78">
        <f t="shared" si="16"/>
        <v>0</v>
      </c>
      <c r="S59" s="76">
        <f t="shared" si="17"/>
        <v>0</v>
      </c>
      <c r="T59" s="75">
        <f t="shared" si="26"/>
        <v>0</v>
      </c>
      <c r="U59" s="73"/>
      <c r="V59" s="114" t="s">
        <v>119</v>
      </c>
      <c r="W59" s="78">
        <f t="shared" si="19"/>
        <v>0</v>
      </c>
    </row>
    <row r="60" spans="1:23" ht="12" x14ac:dyDescent="0.2">
      <c r="A60" s="261" t="s">
        <v>190</v>
      </c>
      <c r="B60" s="73"/>
      <c r="C60" s="73"/>
      <c r="D60" s="73"/>
      <c r="E60" s="73"/>
      <c r="F60" s="345">
        <f t="shared" si="20"/>
        <v>0</v>
      </c>
      <c r="G60" s="75">
        <f t="shared" si="21"/>
        <v>0</v>
      </c>
      <c r="H60" s="75">
        <f t="shared" si="22"/>
        <v>0</v>
      </c>
      <c r="I60" s="76">
        <f t="shared" si="23"/>
        <v>0</v>
      </c>
      <c r="J60" s="75">
        <f t="shared" si="13"/>
        <v>0</v>
      </c>
      <c r="K60" s="73"/>
      <c r="L60" s="114" t="s">
        <v>119</v>
      </c>
      <c r="M60" s="77">
        <f t="shared" si="14"/>
        <v>0</v>
      </c>
      <c r="N60" s="76">
        <f t="shared" si="24"/>
        <v>0</v>
      </c>
      <c r="O60" s="75">
        <f t="shared" si="25"/>
        <v>0</v>
      </c>
      <c r="P60" s="73"/>
      <c r="Q60" s="114" t="s">
        <v>119</v>
      </c>
      <c r="R60" s="78">
        <f t="shared" si="16"/>
        <v>0</v>
      </c>
      <c r="S60" s="76">
        <f t="shared" si="17"/>
        <v>0</v>
      </c>
      <c r="T60" s="75">
        <f t="shared" si="26"/>
        <v>0</v>
      </c>
      <c r="U60" s="73"/>
      <c r="V60" s="114" t="s">
        <v>119</v>
      </c>
      <c r="W60" s="78">
        <f t="shared" si="19"/>
        <v>0</v>
      </c>
    </row>
    <row r="61" spans="1:23" ht="12" x14ac:dyDescent="0.2">
      <c r="A61" s="261" t="s">
        <v>191</v>
      </c>
      <c r="B61" s="73"/>
      <c r="C61" s="73"/>
      <c r="D61" s="73"/>
      <c r="E61" s="73"/>
      <c r="F61" s="345">
        <f t="shared" si="20"/>
        <v>0</v>
      </c>
      <c r="G61" s="75">
        <f t="shared" si="21"/>
        <v>0</v>
      </c>
      <c r="H61" s="75">
        <f t="shared" si="22"/>
        <v>0</v>
      </c>
      <c r="I61" s="76">
        <f t="shared" si="23"/>
        <v>0</v>
      </c>
      <c r="J61" s="75">
        <f t="shared" si="13"/>
        <v>0</v>
      </c>
      <c r="K61" s="73"/>
      <c r="L61" s="114" t="s">
        <v>119</v>
      </c>
      <c r="M61" s="77">
        <f t="shared" si="14"/>
        <v>0</v>
      </c>
      <c r="N61" s="76">
        <f t="shared" si="24"/>
        <v>0</v>
      </c>
      <c r="O61" s="75">
        <f t="shared" si="25"/>
        <v>0</v>
      </c>
      <c r="P61" s="73"/>
      <c r="Q61" s="114" t="s">
        <v>119</v>
      </c>
      <c r="R61" s="78">
        <f t="shared" si="16"/>
        <v>0</v>
      </c>
      <c r="S61" s="76">
        <f t="shared" si="17"/>
        <v>0</v>
      </c>
      <c r="T61" s="75">
        <f t="shared" si="26"/>
        <v>0</v>
      </c>
      <c r="U61" s="73"/>
      <c r="V61" s="114" t="s">
        <v>119</v>
      </c>
      <c r="W61" s="78">
        <f t="shared" si="19"/>
        <v>0</v>
      </c>
    </row>
    <row r="62" spans="1:23" ht="12" x14ac:dyDescent="0.2">
      <c r="A62" s="261" t="s">
        <v>65</v>
      </c>
      <c r="B62" s="73"/>
      <c r="C62" s="73"/>
      <c r="D62" s="73"/>
      <c r="E62" s="73"/>
      <c r="F62" s="345">
        <f t="shared" si="20"/>
        <v>0</v>
      </c>
      <c r="G62" s="75">
        <f t="shared" si="21"/>
        <v>0</v>
      </c>
      <c r="H62" s="75">
        <f t="shared" si="22"/>
        <v>0</v>
      </c>
      <c r="I62" s="76">
        <f t="shared" si="23"/>
        <v>0</v>
      </c>
      <c r="J62" s="75">
        <f t="shared" si="13"/>
        <v>0</v>
      </c>
      <c r="K62" s="73"/>
      <c r="L62" s="114" t="s">
        <v>119</v>
      </c>
      <c r="M62" s="77">
        <f t="shared" si="14"/>
        <v>0</v>
      </c>
      <c r="N62" s="76">
        <f t="shared" si="24"/>
        <v>0</v>
      </c>
      <c r="O62" s="75">
        <f t="shared" si="25"/>
        <v>0</v>
      </c>
      <c r="P62" s="73"/>
      <c r="Q62" s="114" t="s">
        <v>119</v>
      </c>
      <c r="R62" s="78">
        <f t="shared" si="16"/>
        <v>0</v>
      </c>
      <c r="S62" s="76">
        <f t="shared" si="17"/>
        <v>0</v>
      </c>
      <c r="T62" s="75">
        <f t="shared" si="26"/>
        <v>0</v>
      </c>
      <c r="U62" s="73"/>
      <c r="V62" s="114" t="s">
        <v>119</v>
      </c>
      <c r="W62" s="78">
        <f t="shared" si="19"/>
        <v>0</v>
      </c>
    </row>
    <row r="63" spans="1:23" ht="12" x14ac:dyDescent="0.2">
      <c r="A63" s="261" t="s">
        <v>66</v>
      </c>
      <c r="B63" s="73"/>
      <c r="C63" s="73"/>
      <c r="D63" s="73"/>
      <c r="E63" s="73"/>
      <c r="F63" s="345">
        <f t="shared" si="20"/>
        <v>0</v>
      </c>
      <c r="G63" s="75">
        <f t="shared" si="21"/>
        <v>0</v>
      </c>
      <c r="H63" s="75">
        <f t="shared" si="22"/>
        <v>0</v>
      </c>
      <c r="I63" s="76">
        <f t="shared" si="23"/>
        <v>0</v>
      </c>
      <c r="J63" s="75">
        <f t="shared" si="13"/>
        <v>0</v>
      </c>
      <c r="K63" s="73"/>
      <c r="L63" s="114" t="s">
        <v>119</v>
      </c>
      <c r="M63" s="77">
        <f t="shared" si="14"/>
        <v>0</v>
      </c>
      <c r="N63" s="76">
        <f t="shared" si="24"/>
        <v>0</v>
      </c>
      <c r="O63" s="75">
        <f t="shared" si="25"/>
        <v>0</v>
      </c>
      <c r="P63" s="73"/>
      <c r="Q63" s="114" t="s">
        <v>119</v>
      </c>
      <c r="R63" s="78">
        <f t="shared" si="16"/>
        <v>0</v>
      </c>
      <c r="S63" s="76">
        <f t="shared" si="17"/>
        <v>0</v>
      </c>
      <c r="T63" s="75">
        <f t="shared" si="26"/>
        <v>0</v>
      </c>
      <c r="U63" s="73"/>
      <c r="V63" s="114" t="s">
        <v>119</v>
      </c>
      <c r="W63" s="78">
        <f t="shared" si="19"/>
        <v>0</v>
      </c>
    </row>
    <row r="64" spans="1:23" ht="12" x14ac:dyDescent="0.2">
      <c r="A64" s="154" t="s">
        <v>67</v>
      </c>
      <c r="B64" s="73"/>
      <c r="C64" s="73"/>
      <c r="D64" s="73"/>
      <c r="E64" s="73"/>
      <c r="F64" s="345">
        <f t="shared" si="20"/>
        <v>0</v>
      </c>
      <c r="G64" s="75">
        <f t="shared" si="21"/>
        <v>0</v>
      </c>
      <c r="H64" s="75">
        <f t="shared" si="22"/>
        <v>0</v>
      </c>
      <c r="I64" s="76">
        <f t="shared" si="23"/>
        <v>0</v>
      </c>
      <c r="J64" s="75">
        <f t="shared" si="13"/>
        <v>0</v>
      </c>
      <c r="K64" s="73"/>
      <c r="L64" s="114" t="s">
        <v>119</v>
      </c>
      <c r="M64" s="77">
        <f t="shared" si="14"/>
        <v>0</v>
      </c>
      <c r="N64" s="76">
        <f t="shared" si="24"/>
        <v>0</v>
      </c>
      <c r="O64" s="75">
        <f t="shared" si="25"/>
        <v>0</v>
      </c>
      <c r="P64" s="73"/>
      <c r="Q64" s="114" t="s">
        <v>119</v>
      </c>
      <c r="R64" s="78">
        <f t="shared" si="16"/>
        <v>0</v>
      </c>
      <c r="S64" s="76">
        <f t="shared" si="17"/>
        <v>0</v>
      </c>
      <c r="T64" s="75">
        <f t="shared" si="26"/>
        <v>0</v>
      </c>
      <c r="U64" s="73"/>
      <c r="V64" s="114" t="s">
        <v>119</v>
      </c>
      <c r="W64" s="78">
        <f t="shared" si="19"/>
        <v>0</v>
      </c>
    </row>
    <row r="65" spans="1:23" ht="12" x14ac:dyDescent="0.2">
      <c r="A65" s="160" t="s">
        <v>68</v>
      </c>
      <c r="B65" s="73"/>
      <c r="C65" s="73"/>
      <c r="D65" s="73"/>
      <c r="E65" s="73"/>
      <c r="F65" s="345">
        <f t="shared" si="20"/>
        <v>0</v>
      </c>
      <c r="G65" s="75">
        <f t="shared" si="21"/>
        <v>0</v>
      </c>
      <c r="H65" s="75">
        <f t="shared" si="22"/>
        <v>0</v>
      </c>
      <c r="I65" s="76">
        <f t="shared" si="23"/>
        <v>0</v>
      </c>
      <c r="J65" s="75">
        <f t="shared" si="13"/>
        <v>0</v>
      </c>
      <c r="K65" s="75"/>
      <c r="L65" s="113" t="s">
        <v>49</v>
      </c>
      <c r="M65" s="77">
        <f>'Wages Budget'!AI32</f>
        <v>0</v>
      </c>
      <c r="N65" s="76">
        <f t="shared" si="24"/>
        <v>0</v>
      </c>
      <c r="O65" s="75">
        <f t="shared" si="25"/>
        <v>0</v>
      </c>
      <c r="P65" s="75"/>
      <c r="Q65" s="113" t="s">
        <v>49</v>
      </c>
      <c r="R65" s="78">
        <f>IF(I3=2017,'Wages Budget'!AK32,'Wages Budget'!AI32/2+'Wages Budget'!AK32/2)</f>
        <v>0</v>
      </c>
      <c r="S65" s="76">
        <f t="shared" si="17"/>
        <v>0</v>
      </c>
      <c r="T65" s="75">
        <f t="shared" si="26"/>
        <v>0</v>
      </c>
      <c r="U65" s="73"/>
      <c r="V65" s="114" t="s">
        <v>119</v>
      </c>
      <c r="W65" s="78">
        <f t="shared" si="19"/>
        <v>0</v>
      </c>
    </row>
    <row r="66" spans="1:23" ht="12" x14ac:dyDescent="0.2">
      <c r="A66" s="154" t="s">
        <v>69</v>
      </c>
      <c r="B66" s="73"/>
      <c r="C66" s="73"/>
      <c r="D66" s="73"/>
      <c r="E66" s="73"/>
      <c r="F66" s="345">
        <f t="shared" si="20"/>
        <v>0</v>
      </c>
      <c r="G66" s="75">
        <f t="shared" si="21"/>
        <v>0</v>
      </c>
      <c r="H66" s="75">
        <f t="shared" si="22"/>
        <v>0</v>
      </c>
      <c r="I66" s="76">
        <f t="shared" si="23"/>
        <v>0</v>
      </c>
      <c r="J66" s="75">
        <f t="shared" si="13"/>
        <v>0</v>
      </c>
      <c r="K66" s="73"/>
      <c r="L66" s="114" t="s">
        <v>119</v>
      </c>
      <c r="M66" s="77">
        <f t="shared" si="14"/>
        <v>0</v>
      </c>
      <c r="N66" s="76">
        <f t="shared" si="24"/>
        <v>0</v>
      </c>
      <c r="O66" s="75">
        <f t="shared" si="25"/>
        <v>0</v>
      </c>
      <c r="P66" s="73"/>
      <c r="Q66" s="114" t="s">
        <v>119</v>
      </c>
      <c r="R66" s="78">
        <f t="shared" si="16"/>
        <v>0</v>
      </c>
      <c r="S66" s="76">
        <f t="shared" si="17"/>
        <v>0</v>
      </c>
      <c r="T66" s="75">
        <f t="shared" si="26"/>
        <v>0</v>
      </c>
      <c r="U66" s="73"/>
      <c r="V66" s="114" t="s">
        <v>119</v>
      </c>
      <c r="W66" s="78">
        <f t="shared" si="19"/>
        <v>0</v>
      </c>
    </row>
    <row r="67" spans="1:23" ht="12" x14ac:dyDescent="0.2">
      <c r="A67" s="154" t="s">
        <v>70</v>
      </c>
      <c r="B67" s="73"/>
      <c r="C67" s="73"/>
      <c r="D67" s="73"/>
      <c r="E67" s="73"/>
      <c r="F67" s="345">
        <f t="shared" si="20"/>
        <v>0</v>
      </c>
      <c r="G67" s="75">
        <f t="shared" si="21"/>
        <v>0</v>
      </c>
      <c r="H67" s="75">
        <f t="shared" si="22"/>
        <v>0</v>
      </c>
      <c r="I67" s="76">
        <f t="shared" si="23"/>
        <v>0</v>
      </c>
      <c r="J67" s="75">
        <f t="shared" si="13"/>
        <v>0</v>
      </c>
      <c r="K67" s="73"/>
      <c r="L67" s="114" t="s">
        <v>119</v>
      </c>
      <c r="M67" s="77">
        <f t="shared" si="14"/>
        <v>0</v>
      </c>
      <c r="N67" s="76">
        <f t="shared" si="24"/>
        <v>0</v>
      </c>
      <c r="O67" s="75">
        <f t="shared" si="25"/>
        <v>0</v>
      </c>
      <c r="P67" s="73"/>
      <c r="Q67" s="114" t="s">
        <v>119</v>
      </c>
      <c r="R67" s="78">
        <f t="shared" si="16"/>
        <v>0</v>
      </c>
      <c r="S67" s="76">
        <f t="shared" si="17"/>
        <v>0</v>
      </c>
      <c r="T67" s="75">
        <f t="shared" si="26"/>
        <v>0</v>
      </c>
      <c r="U67" s="73"/>
      <c r="V67" s="114" t="s">
        <v>119</v>
      </c>
      <c r="W67" s="78">
        <f t="shared" si="19"/>
        <v>0</v>
      </c>
    </row>
    <row r="68" spans="1:23" ht="12" x14ac:dyDescent="0.2">
      <c r="A68" s="154" t="s">
        <v>71</v>
      </c>
      <c r="B68" s="73"/>
      <c r="C68" s="73"/>
      <c r="D68" s="73"/>
      <c r="E68" s="73"/>
      <c r="F68" s="345">
        <f t="shared" si="20"/>
        <v>0</v>
      </c>
      <c r="G68" s="75">
        <f t="shared" si="21"/>
        <v>0</v>
      </c>
      <c r="H68" s="75">
        <f t="shared" si="22"/>
        <v>0</v>
      </c>
      <c r="I68" s="76">
        <f t="shared" si="23"/>
        <v>0</v>
      </c>
      <c r="J68" s="75">
        <f t="shared" si="13"/>
        <v>0</v>
      </c>
      <c r="K68" s="73"/>
      <c r="L68" s="114" t="s">
        <v>119</v>
      </c>
      <c r="M68" s="77">
        <f t="shared" si="14"/>
        <v>0</v>
      </c>
      <c r="N68" s="76">
        <f t="shared" si="24"/>
        <v>0</v>
      </c>
      <c r="O68" s="75">
        <f t="shared" si="25"/>
        <v>0</v>
      </c>
      <c r="P68" s="73"/>
      <c r="Q68" s="114" t="s">
        <v>119</v>
      </c>
      <c r="R68" s="78">
        <f t="shared" si="16"/>
        <v>0</v>
      </c>
      <c r="S68" s="76">
        <f t="shared" si="17"/>
        <v>0</v>
      </c>
      <c r="T68" s="75">
        <f t="shared" si="26"/>
        <v>0</v>
      </c>
      <c r="U68" s="73"/>
      <c r="V68" s="114" t="s">
        <v>119</v>
      </c>
      <c r="W68" s="78">
        <f t="shared" si="19"/>
        <v>0</v>
      </c>
    </row>
    <row r="69" spans="1:23" ht="12" x14ac:dyDescent="0.2">
      <c r="A69" s="160" t="s">
        <v>72</v>
      </c>
      <c r="B69" s="73"/>
      <c r="C69" s="73"/>
      <c r="D69" s="73"/>
      <c r="E69" s="73"/>
      <c r="F69" s="345">
        <f t="shared" si="20"/>
        <v>0</v>
      </c>
      <c r="G69" s="75">
        <f t="shared" si="21"/>
        <v>0</v>
      </c>
      <c r="H69" s="75">
        <f t="shared" si="22"/>
        <v>0</v>
      </c>
      <c r="I69" s="76">
        <f t="shared" si="23"/>
        <v>0</v>
      </c>
      <c r="J69" s="75">
        <f t="shared" si="13"/>
        <v>0</v>
      </c>
      <c r="K69" s="75"/>
      <c r="L69" s="113" t="s">
        <v>49</v>
      </c>
      <c r="M69" s="77">
        <f>'Wages Budget'!AJ32+0.095*M64</f>
        <v>0</v>
      </c>
      <c r="N69" s="76">
        <f t="shared" si="24"/>
        <v>0</v>
      </c>
      <c r="O69" s="75">
        <f t="shared" si="25"/>
        <v>0</v>
      </c>
      <c r="P69" s="75"/>
      <c r="Q69" s="113" t="s">
        <v>49</v>
      </c>
      <c r="R69" s="78">
        <f>IF(I3=2017,'Wages Budget'!AL32,'Wages Budget'!AJ32/2+'Wages Budget'!AL32/2)+0.095*R64</f>
        <v>0</v>
      </c>
      <c r="S69" s="76">
        <f t="shared" si="17"/>
        <v>0</v>
      </c>
      <c r="T69" s="75">
        <f t="shared" si="26"/>
        <v>0</v>
      </c>
      <c r="U69" s="73"/>
      <c r="V69" s="114" t="s">
        <v>119</v>
      </c>
      <c r="W69" s="78">
        <f t="shared" si="19"/>
        <v>0</v>
      </c>
    </row>
    <row r="70" spans="1:23" ht="12" x14ac:dyDescent="0.2">
      <c r="A70" s="154" t="s">
        <v>73</v>
      </c>
      <c r="B70" s="73"/>
      <c r="C70" s="73"/>
      <c r="D70" s="73"/>
      <c r="E70" s="73"/>
      <c r="F70" s="345">
        <f t="shared" si="20"/>
        <v>0</v>
      </c>
      <c r="G70" s="75">
        <f t="shared" si="21"/>
        <v>0</v>
      </c>
      <c r="H70" s="75">
        <f t="shared" si="22"/>
        <v>0</v>
      </c>
      <c r="I70" s="76">
        <f t="shared" si="23"/>
        <v>0</v>
      </c>
      <c r="J70" s="75">
        <f t="shared" si="13"/>
        <v>0</v>
      </c>
      <c r="K70" s="73"/>
      <c r="L70" s="114" t="s">
        <v>119</v>
      </c>
      <c r="M70" s="77">
        <f t="shared" si="14"/>
        <v>0</v>
      </c>
      <c r="N70" s="76">
        <f t="shared" si="24"/>
        <v>0</v>
      </c>
      <c r="O70" s="75">
        <f t="shared" si="25"/>
        <v>0</v>
      </c>
      <c r="P70" s="73"/>
      <c r="Q70" s="114" t="s">
        <v>119</v>
      </c>
      <c r="R70" s="78">
        <f t="shared" si="16"/>
        <v>0</v>
      </c>
      <c r="S70" s="76">
        <f t="shared" si="17"/>
        <v>0</v>
      </c>
      <c r="T70" s="75">
        <f t="shared" si="26"/>
        <v>0</v>
      </c>
      <c r="U70" s="73"/>
      <c r="V70" s="114" t="s">
        <v>119</v>
      </c>
      <c r="W70" s="78">
        <f t="shared" si="19"/>
        <v>0</v>
      </c>
    </row>
    <row r="71" spans="1:23" ht="12" x14ac:dyDescent="0.2">
      <c r="A71" s="154" t="s">
        <v>101</v>
      </c>
      <c r="B71" s="73"/>
      <c r="C71" s="73"/>
      <c r="D71" s="73"/>
      <c r="E71" s="73"/>
      <c r="F71" s="345">
        <f>M71</f>
        <v>0</v>
      </c>
      <c r="G71" s="75">
        <f>R71</f>
        <v>0</v>
      </c>
      <c r="H71" s="75">
        <f>W71</f>
        <v>0</v>
      </c>
      <c r="I71" s="76">
        <f t="shared" si="23"/>
        <v>0</v>
      </c>
      <c r="J71" s="75">
        <f t="shared" si="13"/>
        <v>0</v>
      </c>
      <c r="K71" s="73"/>
      <c r="L71" s="114" t="s">
        <v>119</v>
      </c>
      <c r="M71" s="77">
        <f>IF(L71="Trend",I71,IF(L71="CPI",J71,K71))</f>
        <v>0</v>
      </c>
      <c r="N71" s="76">
        <f t="shared" si="24"/>
        <v>0</v>
      </c>
      <c r="O71" s="75">
        <f t="shared" si="25"/>
        <v>0</v>
      </c>
      <c r="P71" s="73"/>
      <c r="Q71" s="114" t="s">
        <v>119</v>
      </c>
      <c r="R71" s="78">
        <f>IF(Q71="Trend",N71,IF(Q71="CPI",O71,P71))</f>
        <v>0</v>
      </c>
      <c r="S71" s="76">
        <f t="shared" si="17"/>
        <v>0</v>
      </c>
      <c r="T71" s="75">
        <f t="shared" si="26"/>
        <v>0</v>
      </c>
      <c r="U71" s="73"/>
      <c r="V71" s="114" t="s">
        <v>119</v>
      </c>
      <c r="W71" s="78">
        <f t="shared" si="19"/>
        <v>0</v>
      </c>
    </row>
    <row r="72" spans="1:23" ht="12" x14ac:dyDescent="0.2">
      <c r="A72" s="160" t="s">
        <v>74</v>
      </c>
      <c r="B72" s="73"/>
      <c r="C72" s="73"/>
      <c r="D72" s="73"/>
      <c r="E72" s="73"/>
      <c r="F72" s="345">
        <f t="shared" si="20"/>
        <v>0</v>
      </c>
      <c r="G72" s="75">
        <f t="shared" si="21"/>
        <v>0</v>
      </c>
      <c r="H72" s="75">
        <f t="shared" si="22"/>
        <v>0</v>
      </c>
      <c r="I72" s="76">
        <f t="shared" si="23"/>
        <v>0</v>
      </c>
      <c r="J72" s="75">
        <f t="shared" si="13"/>
        <v>0</v>
      </c>
      <c r="K72" s="75"/>
      <c r="L72" s="113" t="s">
        <v>49</v>
      </c>
      <c r="M72" s="77">
        <f>0.017533*(M65+M69)</f>
        <v>0</v>
      </c>
      <c r="N72" s="76">
        <f t="shared" si="24"/>
        <v>0</v>
      </c>
      <c r="O72" s="75">
        <f t="shared" si="25"/>
        <v>0</v>
      </c>
      <c r="P72" s="75"/>
      <c r="Q72" s="113" t="s">
        <v>49</v>
      </c>
      <c r="R72" s="78">
        <f>0.017533*(R65+R69)</f>
        <v>0</v>
      </c>
      <c r="S72" s="76">
        <f t="shared" si="17"/>
        <v>0</v>
      </c>
      <c r="T72" s="75">
        <f t="shared" si="26"/>
        <v>0</v>
      </c>
      <c r="U72" s="73"/>
      <c r="V72" s="114" t="s">
        <v>119</v>
      </c>
      <c r="W72" s="78">
        <f t="shared" si="19"/>
        <v>0</v>
      </c>
    </row>
    <row r="73" spans="1:23" ht="12" x14ac:dyDescent="0.2">
      <c r="A73" s="268" t="s">
        <v>75</v>
      </c>
      <c r="B73" s="73"/>
      <c r="C73" s="73"/>
      <c r="D73" s="73"/>
      <c r="E73" s="73"/>
      <c r="F73" s="345">
        <f t="shared" si="20"/>
        <v>0</v>
      </c>
      <c r="G73" s="75">
        <f t="shared" si="21"/>
        <v>0</v>
      </c>
      <c r="H73" s="75">
        <f t="shared" si="22"/>
        <v>0</v>
      </c>
      <c r="I73" s="76">
        <f t="shared" si="23"/>
        <v>0</v>
      </c>
      <c r="J73" s="75">
        <f t="shared" si="13"/>
        <v>0</v>
      </c>
      <c r="K73" s="73"/>
      <c r="L73" s="114" t="s">
        <v>119</v>
      </c>
      <c r="M73" s="77">
        <f t="shared" si="14"/>
        <v>0</v>
      </c>
      <c r="N73" s="76">
        <f t="shared" si="24"/>
        <v>0</v>
      </c>
      <c r="O73" s="75">
        <f t="shared" si="25"/>
        <v>0</v>
      </c>
      <c r="P73" s="73"/>
      <c r="Q73" s="114" t="s">
        <v>119</v>
      </c>
      <c r="R73" s="78">
        <f t="shared" si="16"/>
        <v>0</v>
      </c>
      <c r="S73" s="76">
        <f t="shared" si="17"/>
        <v>0</v>
      </c>
      <c r="T73" s="75">
        <f t="shared" si="26"/>
        <v>0</v>
      </c>
      <c r="U73" s="73"/>
      <c r="V73" s="114" t="s">
        <v>119</v>
      </c>
      <c r="W73" s="78">
        <f t="shared" si="19"/>
        <v>0</v>
      </c>
    </row>
    <row r="74" spans="1:23" ht="12" x14ac:dyDescent="0.2">
      <c r="A74" s="268" t="s">
        <v>192</v>
      </c>
      <c r="B74" s="73"/>
      <c r="C74" s="73"/>
      <c r="D74" s="73"/>
      <c r="E74" s="73"/>
      <c r="F74" s="345">
        <f t="shared" si="20"/>
        <v>0</v>
      </c>
      <c r="G74" s="75">
        <f t="shared" si="21"/>
        <v>0</v>
      </c>
      <c r="H74" s="75">
        <f t="shared" si="22"/>
        <v>0</v>
      </c>
      <c r="I74" s="76">
        <f t="shared" si="23"/>
        <v>0</v>
      </c>
      <c r="J74" s="75">
        <f t="shared" si="13"/>
        <v>0</v>
      </c>
      <c r="K74" s="73"/>
      <c r="L74" s="114" t="s">
        <v>119</v>
      </c>
      <c r="M74" s="77">
        <f t="shared" si="14"/>
        <v>0</v>
      </c>
      <c r="N74" s="76">
        <f t="shared" si="24"/>
        <v>0</v>
      </c>
      <c r="O74" s="75">
        <f t="shared" si="25"/>
        <v>0</v>
      </c>
      <c r="P74" s="73"/>
      <c r="Q74" s="114" t="s">
        <v>119</v>
      </c>
      <c r="R74" s="78">
        <f t="shared" si="16"/>
        <v>0</v>
      </c>
      <c r="S74" s="76">
        <f t="shared" si="17"/>
        <v>0</v>
      </c>
      <c r="T74" s="75">
        <f t="shared" si="26"/>
        <v>0</v>
      </c>
      <c r="U74" s="73"/>
      <c r="V74" s="114" t="s">
        <v>119</v>
      </c>
      <c r="W74" s="78">
        <f t="shared" si="19"/>
        <v>0</v>
      </c>
    </row>
    <row r="75" spans="1:23" ht="12" x14ac:dyDescent="0.2">
      <c r="A75" s="268" t="s">
        <v>76</v>
      </c>
      <c r="B75" s="73"/>
      <c r="C75" s="73"/>
      <c r="D75" s="73"/>
      <c r="E75" s="73"/>
      <c r="F75" s="345">
        <f t="shared" si="20"/>
        <v>0</v>
      </c>
      <c r="G75" s="75">
        <f t="shared" si="21"/>
        <v>0</v>
      </c>
      <c r="H75" s="75">
        <f t="shared" si="22"/>
        <v>0</v>
      </c>
      <c r="I75" s="76">
        <f t="shared" si="23"/>
        <v>0</v>
      </c>
      <c r="J75" s="75">
        <f t="shared" si="13"/>
        <v>0</v>
      </c>
      <c r="K75" s="73"/>
      <c r="L75" s="114" t="s">
        <v>119</v>
      </c>
      <c r="M75" s="77">
        <f t="shared" si="14"/>
        <v>0</v>
      </c>
      <c r="N75" s="76">
        <f t="shared" si="24"/>
        <v>0</v>
      </c>
      <c r="O75" s="75">
        <f t="shared" si="25"/>
        <v>0</v>
      </c>
      <c r="P75" s="73"/>
      <c r="Q75" s="114" t="s">
        <v>119</v>
      </c>
      <c r="R75" s="78">
        <f t="shared" si="16"/>
        <v>0</v>
      </c>
      <c r="S75" s="76">
        <f t="shared" si="17"/>
        <v>0</v>
      </c>
      <c r="T75" s="75">
        <f t="shared" si="26"/>
        <v>0</v>
      </c>
      <c r="U75" s="73"/>
      <c r="V75" s="114" t="s">
        <v>119</v>
      </c>
      <c r="W75" s="78">
        <f t="shared" si="19"/>
        <v>0</v>
      </c>
    </row>
    <row r="76" spans="1:23" ht="12" x14ac:dyDescent="0.2">
      <c r="A76" s="268" t="s">
        <v>193</v>
      </c>
      <c r="B76" s="73"/>
      <c r="C76" s="73"/>
      <c r="D76" s="73"/>
      <c r="E76" s="73"/>
      <c r="F76" s="345">
        <f t="shared" si="20"/>
        <v>0</v>
      </c>
      <c r="G76" s="75">
        <f t="shared" si="21"/>
        <v>0</v>
      </c>
      <c r="H76" s="75">
        <f t="shared" si="22"/>
        <v>0</v>
      </c>
      <c r="I76" s="76">
        <f t="shared" si="23"/>
        <v>0</v>
      </c>
      <c r="J76" s="75">
        <f t="shared" si="13"/>
        <v>0</v>
      </c>
      <c r="K76" s="73"/>
      <c r="L76" s="114" t="s">
        <v>119</v>
      </c>
      <c r="M76" s="77">
        <f t="shared" si="14"/>
        <v>0</v>
      </c>
      <c r="N76" s="76">
        <f t="shared" si="24"/>
        <v>0</v>
      </c>
      <c r="O76" s="75">
        <f t="shared" si="25"/>
        <v>0</v>
      </c>
      <c r="P76" s="73"/>
      <c r="Q76" s="114" t="s">
        <v>119</v>
      </c>
      <c r="R76" s="78">
        <f t="shared" si="16"/>
        <v>0</v>
      </c>
      <c r="S76" s="76">
        <f t="shared" si="17"/>
        <v>0</v>
      </c>
      <c r="T76" s="75">
        <f t="shared" si="26"/>
        <v>0</v>
      </c>
      <c r="U76" s="73"/>
      <c r="V76" s="114" t="s">
        <v>119</v>
      </c>
      <c r="W76" s="78">
        <f t="shared" si="19"/>
        <v>0</v>
      </c>
    </row>
    <row r="77" spans="1:23" ht="12" x14ac:dyDescent="0.2">
      <c r="A77" s="268" t="s">
        <v>77</v>
      </c>
      <c r="B77" s="73"/>
      <c r="C77" s="73"/>
      <c r="D77" s="73"/>
      <c r="E77" s="73"/>
      <c r="F77" s="345">
        <f t="shared" si="20"/>
        <v>0</v>
      </c>
      <c r="G77" s="75">
        <f t="shared" si="21"/>
        <v>0</v>
      </c>
      <c r="H77" s="75">
        <f t="shared" si="22"/>
        <v>0</v>
      </c>
      <c r="I77" s="76">
        <f t="shared" si="23"/>
        <v>0</v>
      </c>
      <c r="J77" s="75">
        <f t="shared" si="13"/>
        <v>0</v>
      </c>
      <c r="K77" s="73"/>
      <c r="L77" s="114" t="s">
        <v>119</v>
      </c>
      <c r="M77" s="77">
        <f t="shared" si="14"/>
        <v>0</v>
      </c>
      <c r="N77" s="76">
        <f t="shared" si="24"/>
        <v>0</v>
      </c>
      <c r="O77" s="75">
        <f t="shared" si="25"/>
        <v>0</v>
      </c>
      <c r="P77" s="73"/>
      <c r="Q77" s="114" t="s">
        <v>119</v>
      </c>
      <c r="R77" s="78">
        <f t="shared" si="16"/>
        <v>0</v>
      </c>
      <c r="S77" s="76">
        <f t="shared" si="17"/>
        <v>0</v>
      </c>
      <c r="T77" s="75">
        <f t="shared" si="26"/>
        <v>0</v>
      </c>
      <c r="U77" s="73"/>
      <c r="V77" s="114" t="s">
        <v>119</v>
      </c>
      <c r="W77" s="78">
        <f t="shared" si="19"/>
        <v>0</v>
      </c>
    </row>
    <row r="78" spans="1:23" ht="12" x14ac:dyDescent="0.2">
      <c r="A78" s="268" t="s">
        <v>78</v>
      </c>
      <c r="B78" s="73"/>
      <c r="C78" s="73"/>
      <c r="D78" s="73"/>
      <c r="E78" s="73"/>
      <c r="F78" s="345">
        <f t="shared" si="20"/>
        <v>0</v>
      </c>
      <c r="G78" s="75">
        <f t="shared" si="21"/>
        <v>0</v>
      </c>
      <c r="H78" s="75">
        <f t="shared" si="22"/>
        <v>0</v>
      </c>
      <c r="I78" s="76">
        <f t="shared" si="23"/>
        <v>0</v>
      </c>
      <c r="J78" s="75">
        <f t="shared" si="13"/>
        <v>0</v>
      </c>
      <c r="K78" s="73"/>
      <c r="L78" s="114" t="s">
        <v>119</v>
      </c>
      <c r="M78" s="77">
        <f t="shared" si="14"/>
        <v>0</v>
      </c>
      <c r="N78" s="76">
        <f t="shared" si="24"/>
        <v>0</v>
      </c>
      <c r="O78" s="75">
        <f t="shared" si="25"/>
        <v>0</v>
      </c>
      <c r="P78" s="73"/>
      <c r="Q78" s="114" t="s">
        <v>119</v>
      </c>
      <c r="R78" s="78">
        <f t="shared" si="16"/>
        <v>0</v>
      </c>
      <c r="S78" s="76">
        <f t="shared" si="17"/>
        <v>0</v>
      </c>
      <c r="T78" s="75">
        <f t="shared" si="26"/>
        <v>0</v>
      </c>
      <c r="U78" s="73"/>
      <c r="V78" s="114" t="s">
        <v>119</v>
      </c>
      <c r="W78" s="78">
        <f t="shared" si="19"/>
        <v>0</v>
      </c>
    </row>
    <row r="79" spans="1:23" ht="12" x14ac:dyDescent="0.2">
      <c r="A79" s="268" t="s">
        <v>194</v>
      </c>
      <c r="B79" s="73"/>
      <c r="C79" s="73"/>
      <c r="D79" s="73"/>
      <c r="E79" s="73"/>
      <c r="F79" s="345">
        <f t="shared" si="20"/>
        <v>0</v>
      </c>
      <c r="G79" s="75">
        <f t="shared" si="21"/>
        <v>0</v>
      </c>
      <c r="H79" s="75">
        <f t="shared" si="22"/>
        <v>0</v>
      </c>
      <c r="I79" s="76">
        <f t="shared" si="23"/>
        <v>0</v>
      </c>
      <c r="J79" s="75">
        <f t="shared" si="13"/>
        <v>0</v>
      </c>
      <c r="K79" s="73"/>
      <c r="L79" s="114" t="s">
        <v>119</v>
      </c>
      <c r="M79" s="77">
        <f t="shared" si="14"/>
        <v>0</v>
      </c>
      <c r="N79" s="76">
        <f t="shared" si="24"/>
        <v>0</v>
      </c>
      <c r="O79" s="75">
        <f t="shared" si="25"/>
        <v>0</v>
      </c>
      <c r="P79" s="73"/>
      <c r="Q79" s="114" t="s">
        <v>119</v>
      </c>
      <c r="R79" s="78">
        <f t="shared" si="16"/>
        <v>0</v>
      </c>
      <c r="S79" s="76">
        <f t="shared" si="17"/>
        <v>0</v>
      </c>
      <c r="T79" s="75">
        <f t="shared" si="26"/>
        <v>0</v>
      </c>
      <c r="U79" s="73"/>
      <c r="V79" s="114" t="s">
        <v>119</v>
      </c>
      <c r="W79" s="78">
        <f t="shared" si="19"/>
        <v>0</v>
      </c>
    </row>
    <row r="80" spans="1:23" ht="12" x14ac:dyDescent="0.2">
      <c r="A80" s="268" t="s">
        <v>195</v>
      </c>
      <c r="B80" s="73"/>
      <c r="C80" s="73"/>
      <c r="D80" s="73"/>
      <c r="E80" s="73"/>
      <c r="F80" s="345">
        <f t="shared" si="20"/>
        <v>0</v>
      </c>
      <c r="G80" s="75">
        <f t="shared" si="21"/>
        <v>0</v>
      </c>
      <c r="H80" s="75">
        <f t="shared" si="22"/>
        <v>0</v>
      </c>
      <c r="I80" s="76">
        <f t="shared" si="23"/>
        <v>0</v>
      </c>
      <c r="J80" s="75">
        <f t="shared" si="13"/>
        <v>0</v>
      </c>
      <c r="K80" s="73"/>
      <c r="L80" s="114" t="s">
        <v>119</v>
      </c>
      <c r="M80" s="77">
        <f t="shared" si="14"/>
        <v>0</v>
      </c>
      <c r="N80" s="76">
        <f t="shared" si="24"/>
        <v>0</v>
      </c>
      <c r="O80" s="75">
        <f t="shared" si="25"/>
        <v>0</v>
      </c>
      <c r="P80" s="73"/>
      <c r="Q80" s="114" t="s">
        <v>119</v>
      </c>
      <c r="R80" s="78">
        <f t="shared" si="16"/>
        <v>0</v>
      </c>
      <c r="S80" s="76">
        <f t="shared" si="17"/>
        <v>0</v>
      </c>
      <c r="T80" s="75">
        <f t="shared" si="26"/>
        <v>0</v>
      </c>
      <c r="U80" s="73"/>
      <c r="V80" s="114" t="s">
        <v>119</v>
      </c>
      <c r="W80" s="78">
        <f t="shared" si="19"/>
        <v>0</v>
      </c>
    </row>
    <row r="81" spans="1:23" ht="12" x14ac:dyDescent="0.2">
      <c r="A81" s="268" t="s">
        <v>79</v>
      </c>
      <c r="B81" s="73"/>
      <c r="C81" s="73"/>
      <c r="D81" s="73"/>
      <c r="E81" s="73"/>
      <c r="F81" s="345">
        <f t="shared" si="20"/>
        <v>0</v>
      </c>
      <c r="G81" s="75">
        <f t="shared" si="21"/>
        <v>0</v>
      </c>
      <c r="H81" s="75">
        <f t="shared" si="22"/>
        <v>0</v>
      </c>
      <c r="I81" s="76">
        <f t="shared" si="23"/>
        <v>0</v>
      </c>
      <c r="J81" s="75">
        <f t="shared" si="13"/>
        <v>0</v>
      </c>
      <c r="K81" s="73"/>
      <c r="L81" s="114" t="s">
        <v>119</v>
      </c>
      <c r="M81" s="77">
        <f t="shared" si="14"/>
        <v>0</v>
      </c>
      <c r="N81" s="76">
        <f t="shared" si="24"/>
        <v>0</v>
      </c>
      <c r="O81" s="75">
        <f t="shared" si="25"/>
        <v>0</v>
      </c>
      <c r="P81" s="73"/>
      <c r="Q81" s="114" t="s">
        <v>119</v>
      </c>
      <c r="R81" s="78">
        <f t="shared" si="16"/>
        <v>0</v>
      </c>
      <c r="S81" s="76">
        <f t="shared" si="17"/>
        <v>0</v>
      </c>
      <c r="T81" s="75">
        <f t="shared" si="26"/>
        <v>0</v>
      </c>
      <c r="U81" s="73"/>
      <c r="V81" s="114" t="s">
        <v>119</v>
      </c>
      <c r="W81" s="78">
        <f t="shared" si="19"/>
        <v>0</v>
      </c>
    </row>
    <row r="82" spans="1:23" ht="12" x14ac:dyDescent="0.2">
      <c r="A82" s="268" t="s">
        <v>196</v>
      </c>
      <c r="B82" s="73"/>
      <c r="C82" s="73"/>
      <c r="D82" s="73"/>
      <c r="E82" s="73"/>
      <c r="F82" s="345">
        <f t="shared" si="20"/>
        <v>0</v>
      </c>
      <c r="G82" s="75">
        <f t="shared" si="21"/>
        <v>0</v>
      </c>
      <c r="H82" s="75">
        <f t="shared" si="22"/>
        <v>0</v>
      </c>
      <c r="I82" s="76">
        <f t="shared" si="23"/>
        <v>0</v>
      </c>
      <c r="J82" s="75">
        <f t="shared" si="13"/>
        <v>0</v>
      </c>
      <c r="K82" s="73"/>
      <c r="L82" s="114" t="s">
        <v>119</v>
      </c>
      <c r="M82" s="77">
        <f t="shared" si="14"/>
        <v>0</v>
      </c>
      <c r="N82" s="76">
        <f t="shared" si="24"/>
        <v>0</v>
      </c>
      <c r="O82" s="75">
        <f t="shared" si="25"/>
        <v>0</v>
      </c>
      <c r="P82" s="73"/>
      <c r="Q82" s="114" t="s">
        <v>119</v>
      </c>
      <c r="R82" s="78">
        <f t="shared" si="16"/>
        <v>0</v>
      </c>
      <c r="S82" s="76">
        <f t="shared" si="17"/>
        <v>0</v>
      </c>
      <c r="T82" s="75">
        <f t="shared" si="26"/>
        <v>0</v>
      </c>
      <c r="U82" s="73"/>
      <c r="V82" s="114" t="s">
        <v>119</v>
      </c>
      <c r="W82" s="78">
        <f t="shared" si="19"/>
        <v>0</v>
      </c>
    </row>
    <row r="83" spans="1:23" ht="12" x14ac:dyDescent="0.2">
      <c r="A83" s="268" t="s">
        <v>197</v>
      </c>
      <c r="B83" s="73"/>
      <c r="C83" s="73"/>
      <c r="D83" s="73"/>
      <c r="E83" s="73"/>
      <c r="F83" s="345">
        <f t="shared" si="20"/>
        <v>0</v>
      </c>
      <c r="G83" s="75">
        <f t="shared" si="21"/>
        <v>0</v>
      </c>
      <c r="H83" s="75">
        <f t="shared" si="22"/>
        <v>0</v>
      </c>
      <c r="I83" s="76">
        <f t="shared" si="23"/>
        <v>0</v>
      </c>
      <c r="J83" s="75">
        <f t="shared" si="13"/>
        <v>0</v>
      </c>
      <c r="K83" s="73"/>
      <c r="L83" s="114" t="s">
        <v>119</v>
      </c>
      <c r="M83" s="77">
        <f t="shared" si="14"/>
        <v>0</v>
      </c>
      <c r="N83" s="76">
        <f t="shared" si="24"/>
        <v>0</v>
      </c>
      <c r="O83" s="75">
        <f t="shared" si="25"/>
        <v>0</v>
      </c>
      <c r="P83" s="73"/>
      <c r="Q83" s="114" t="s">
        <v>119</v>
      </c>
      <c r="R83" s="78">
        <f t="shared" si="16"/>
        <v>0</v>
      </c>
      <c r="S83" s="76">
        <f t="shared" si="17"/>
        <v>0</v>
      </c>
      <c r="T83" s="75">
        <f t="shared" si="26"/>
        <v>0</v>
      </c>
      <c r="U83" s="73"/>
      <c r="V83" s="114" t="s">
        <v>119</v>
      </c>
      <c r="W83" s="78">
        <f t="shared" si="19"/>
        <v>0</v>
      </c>
    </row>
    <row r="84" spans="1:23" ht="12" x14ac:dyDescent="0.2">
      <c r="A84" s="268" t="s">
        <v>198</v>
      </c>
      <c r="B84" s="73"/>
      <c r="C84" s="73"/>
      <c r="D84" s="73"/>
      <c r="E84" s="73"/>
      <c r="F84" s="345">
        <f t="shared" si="20"/>
        <v>0</v>
      </c>
      <c r="G84" s="75">
        <f t="shared" si="21"/>
        <v>0</v>
      </c>
      <c r="H84" s="75">
        <f t="shared" si="22"/>
        <v>0</v>
      </c>
      <c r="I84" s="76">
        <f t="shared" si="23"/>
        <v>0</v>
      </c>
      <c r="J84" s="75">
        <f t="shared" si="13"/>
        <v>0</v>
      </c>
      <c r="K84" s="73"/>
      <c r="L84" s="114" t="s">
        <v>119</v>
      </c>
      <c r="M84" s="77">
        <f t="shared" si="14"/>
        <v>0</v>
      </c>
      <c r="N84" s="76">
        <f t="shared" si="24"/>
        <v>0</v>
      </c>
      <c r="O84" s="75">
        <f t="shared" si="25"/>
        <v>0</v>
      </c>
      <c r="P84" s="73"/>
      <c r="Q84" s="114" t="s">
        <v>119</v>
      </c>
      <c r="R84" s="78">
        <f t="shared" si="16"/>
        <v>0</v>
      </c>
      <c r="S84" s="76">
        <f t="shared" si="17"/>
        <v>0</v>
      </c>
      <c r="T84" s="75">
        <f t="shared" si="26"/>
        <v>0</v>
      </c>
      <c r="U84" s="73"/>
      <c r="V84" s="114" t="s">
        <v>119</v>
      </c>
      <c r="W84" s="78">
        <f t="shared" si="19"/>
        <v>0</v>
      </c>
    </row>
    <row r="85" spans="1:23" ht="12" x14ac:dyDescent="0.2">
      <c r="A85" s="268" t="s">
        <v>199</v>
      </c>
      <c r="B85" s="73"/>
      <c r="C85" s="73"/>
      <c r="D85" s="73"/>
      <c r="E85" s="73"/>
      <c r="F85" s="345">
        <f t="shared" si="20"/>
        <v>0</v>
      </c>
      <c r="G85" s="75">
        <f t="shared" si="21"/>
        <v>0</v>
      </c>
      <c r="H85" s="75">
        <f t="shared" si="22"/>
        <v>0</v>
      </c>
      <c r="I85" s="76">
        <f t="shared" si="23"/>
        <v>0</v>
      </c>
      <c r="J85" s="75">
        <f t="shared" si="13"/>
        <v>0</v>
      </c>
      <c r="K85" s="73"/>
      <c r="L85" s="114" t="s">
        <v>119</v>
      </c>
      <c r="M85" s="77">
        <f t="shared" si="14"/>
        <v>0</v>
      </c>
      <c r="N85" s="76">
        <f t="shared" si="24"/>
        <v>0</v>
      </c>
      <c r="O85" s="75">
        <f t="shared" si="25"/>
        <v>0</v>
      </c>
      <c r="P85" s="73"/>
      <c r="Q85" s="114" t="s">
        <v>119</v>
      </c>
      <c r="R85" s="78">
        <f t="shared" si="16"/>
        <v>0</v>
      </c>
      <c r="S85" s="76">
        <f t="shared" si="17"/>
        <v>0</v>
      </c>
      <c r="T85" s="75">
        <f t="shared" si="26"/>
        <v>0</v>
      </c>
      <c r="U85" s="73"/>
      <c r="V85" s="114" t="s">
        <v>119</v>
      </c>
      <c r="W85" s="78">
        <f t="shared" si="19"/>
        <v>0</v>
      </c>
    </row>
    <row r="86" spans="1:23" ht="12" x14ac:dyDescent="0.2">
      <c r="A86" s="268" t="s">
        <v>199</v>
      </c>
      <c r="B86" s="73"/>
      <c r="C86" s="73"/>
      <c r="D86" s="73"/>
      <c r="E86" s="73"/>
      <c r="F86" s="92">
        <f t="shared" si="20"/>
        <v>0</v>
      </c>
      <c r="G86" s="81">
        <f t="shared" si="21"/>
        <v>0</v>
      </c>
      <c r="H86" s="82">
        <f t="shared" si="22"/>
        <v>0</v>
      </c>
      <c r="I86" s="80">
        <f t="shared" si="23"/>
        <v>0</v>
      </c>
      <c r="J86" s="81">
        <f t="shared" si="13"/>
        <v>0</v>
      </c>
      <c r="K86" s="93"/>
      <c r="L86" s="115" t="s">
        <v>119</v>
      </c>
      <c r="M86" s="83">
        <f t="shared" si="14"/>
        <v>0</v>
      </c>
      <c r="N86" s="80">
        <f t="shared" si="24"/>
        <v>0</v>
      </c>
      <c r="O86" s="81">
        <f t="shared" si="25"/>
        <v>0</v>
      </c>
      <c r="P86" s="93"/>
      <c r="Q86" s="115" t="s">
        <v>231</v>
      </c>
      <c r="R86" s="84">
        <f t="shared" si="16"/>
        <v>0</v>
      </c>
      <c r="S86" s="80">
        <f t="shared" si="17"/>
        <v>0</v>
      </c>
      <c r="T86" s="81">
        <f t="shared" si="26"/>
        <v>0</v>
      </c>
      <c r="U86" s="93"/>
      <c r="V86" s="115" t="s">
        <v>119</v>
      </c>
      <c r="W86" s="84">
        <f t="shared" si="19"/>
        <v>0</v>
      </c>
    </row>
    <row r="87" spans="1:23" ht="12" x14ac:dyDescent="0.2">
      <c r="A87" s="155"/>
      <c r="B87" s="85">
        <f>SUM(B24:B86)</f>
        <v>0</v>
      </c>
      <c r="C87" s="85">
        <f>SUM(C24:C86)</f>
        <v>0</v>
      </c>
      <c r="D87" s="85">
        <f>SUM(D24:D86)</f>
        <v>0</v>
      </c>
      <c r="E87" s="85">
        <f>SUM(E24:E86)</f>
        <v>0</v>
      </c>
      <c r="F87" s="345">
        <f t="shared" si="20"/>
        <v>0</v>
      </c>
      <c r="G87" s="75">
        <f t="shared" si="21"/>
        <v>0</v>
      </c>
      <c r="H87" s="75">
        <f t="shared" si="22"/>
        <v>0</v>
      </c>
      <c r="I87" s="76">
        <f>SUM(I24:I86)</f>
        <v>0</v>
      </c>
      <c r="J87" s="75">
        <f>SUM(J24:J86)</f>
        <v>0</v>
      </c>
      <c r="K87" s="75"/>
      <c r="L87" s="94"/>
      <c r="M87" s="77">
        <f>SUM(M24:M86)</f>
        <v>0</v>
      </c>
      <c r="N87" s="76">
        <f>SUM(N24:N86)</f>
        <v>0</v>
      </c>
      <c r="O87" s="75">
        <f t="shared" si="25"/>
        <v>0</v>
      </c>
      <c r="P87" s="75"/>
      <c r="Q87" s="94"/>
      <c r="R87" s="78">
        <f>SUM(R24:R86)</f>
        <v>0</v>
      </c>
      <c r="S87" s="76">
        <f>SUM(S24:S86)</f>
        <v>0</v>
      </c>
      <c r="T87" s="75">
        <f t="shared" si="26"/>
        <v>0</v>
      </c>
      <c r="U87" s="75"/>
      <c r="V87" s="94"/>
      <c r="W87" s="78">
        <f>SUM(W24:W86)</f>
        <v>0</v>
      </c>
    </row>
    <row r="88" spans="1:23" ht="12" x14ac:dyDescent="0.2">
      <c r="A88" s="155"/>
      <c r="B88" s="68"/>
      <c r="C88" s="68"/>
      <c r="D88" s="68"/>
      <c r="E88" s="68"/>
      <c r="F88" s="76"/>
      <c r="G88" s="75"/>
      <c r="H88" s="75"/>
      <c r="I88" s="76"/>
      <c r="J88" s="75"/>
      <c r="K88" s="75"/>
      <c r="L88" s="95"/>
      <c r="M88" s="96"/>
      <c r="N88" s="76"/>
      <c r="O88" s="75"/>
      <c r="P88" s="75"/>
      <c r="Q88" s="95"/>
      <c r="R88" s="97"/>
      <c r="S88" s="76"/>
      <c r="T88" s="75"/>
      <c r="U88" s="75"/>
      <c r="V88" s="95"/>
      <c r="W88" s="97"/>
    </row>
    <row r="89" spans="1:23" s="101" customFormat="1" ht="12.75" thickBot="1" x14ac:dyDescent="0.25">
      <c r="A89" s="156" t="s">
        <v>80</v>
      </c>
      <c r="B89" s="98">
        <f t="shared" ref="B89:H89" si="27">B21-B87</f>
        <v>0</v>
      </c>
      <c r="C89" s="98">
        <f t="shared" si="27"/>
        <v>0</v>
      </c>
      <c r="D89" s="98">
        <f t="shared" si="27"/>
        <v>0</v>
      </c>
      <c r="E89" s="98">
        <f t="shared" si="27"/>
        <v>0</v>
      </c>
      <c r="F89" s="346" t="e">
        <f t="shared" si="27"/>
        <v>#DIV/0!</v>
      </c>
      <c r="G89" s="99" t="e">
        <f t="shared" si="27"/>
        <v>#DIV/0!</v>
      </c>
      <c r="H89" s="99" t="e">
        <f t="shared" si="27"/>
        <v>#DIV/0!</v>
      </c>
      <c r="I89" s="100"/>
      <c r="K89" s="102"/>
      <c r="M89" s="103" t="e">
        <f>M21-M87</f>
        <v>#DIV/0!</v>
      </c>
      <c r="N89" s="100"/>
      <c r="P89" s="102"/>
      <c r="R89" s="104" t="e">
        <f>R21-R87</f>
        <v>#DIV/0!</v>
      </c>
      <c r="S89" s="100"/>
      <c r="U89" s="102"/>
      <c r="W89" s="104" t="e">
        <f>W21-W87</f>
        <v>#DIV/0!</v>
      </c>
    </row>
    <row r="90" spans="1:23" ht="12.75" thickTop="1" x14ac:dyDescent="0.2">
      <c r="A90" s="157"/>
      <c r="I90" s="106"/>
      <c r="M90" s="96"/>
      <c r="N90" s="106"/>
      <c r="R90" s="97"/>
      <c r="S90" s="106"/>
      <c r="W90" s="97"/>
    </row>
    <row r="91" spans="1:23" ht="13.5" thickBot="1" x14ac:dyDescent="0.25">
      <c r="A91" s="158"/>
      <c r="B91" s="107"/>
      <c r="C91" s="107"/>
      <c r="D91" s="340"/>
      <c r="E91" s="340"/>
      <c r="I91" s="108"/>
      <c r="J91" s="109"/>
      <c r="K91" s="109"/>
      <c r="L91" s="109"/>
      <c r="M91" s="110"/>
      <c r="N91" s="108"/>
      <c r="O91" s="109"/>
      <c r="P91" s="109"/>
      <c r="Q91" s="109"/>
      <c r="R91" s="111"/>
      <c r="S91" s="108"/>
      <c r="T91" s="109"/>
      <c r="U91" s="109"/>
      <c r="V91" s="109"/>
      <c r="W91" s="111"/>
    </row>
    <row r="92" spans="1:23" ht="13.5" thickTop="1" x14ac:dyDescent="0.2">
      <c r="A92" s="112"/>
      <c r="B92" s="112"/>
      <c r="C92" s="112"/>
    </row>
    <row r="93" spans="1:23" ht="12.75" x14ac:dyDescent="0.2">
      <c r="A93" s="112"/>
      <c r="B93" s="112"/>
      <c r="C93" s="112"/>
    </row>
    <row r="94" spans="1:23" ht="12.75" x14ac:dyDescent="0.2">
      <c r="A94" s="112"/>
      <c r="B94" s="112"/>
      <c r="C94" s="112"/>
    </row>
    <row r="95" spans="1:23" ht="12.75" x14ac:dyDescent="0.2">
      <c r="A95" s="112"/>
      <c r="B95" s="112"/>
      <c r="C95" s="112"/>
    </row>
    <row r="96" spans="1:23" ht="12.75" x14ac:dyDescent="0.2">
      <c r="A96" s="112"/>
      <c r="B96" s="112"/>
      <c r="C96" s="112"/>
    </row>
    <row r="97" spans="1:3" ht="12.75" x14ac:dyDescent="0.2">
      <c r="A97" s="112"/>
      <c r="B97" s="112"/>
      <c r="C97" s="112"/>
    </row>
    <row r="98" spans="1:3" ht="12.75" x14ac:dyDescent="0.2">
      <c r="A98" s="112"/>
      <c r="B98" s="112"/>
      <c r="C98" s="112"/>
    </row>
  </sheetData>
  <sheetProtection algorithmName="SHA-512" hashValue="toQSfKIS+FZlhABnxsEau9l7m5qtmkTs6Hk5KBKB8ag6Hi/tP5ieg3+14n1eDv4kDJ1wrj+Ym73z+Fh84o6chA==" saltValue="cfmnvbJEpLIix2P5omEGEQ==" spinCount="100000" sheet="1" objects="1" scenarios="1"/>
  <mergeCells count="12">
    <mergeCell ref="D2:E2"/>
    <mergeCell ref="I1:N2"/>
    <mergeCell ref="O1:W2"/>
    <mergeCell ref="K4:L4"/>
    <mergeCell ref="K3:L3"/>
    <mergeCell ref="I3:J4"/>
    <mergeCell ref="U3:V3"/>
    <mergeCell ref="P3:Q3"/>
    <mergeCell ref="P4:Q4"/>
    <mergeCell ref="N3:O4"/>
    <mergeCell ref="S3:T4"/>
    <mergeCell ref="U4:V4"/>
  </mergeCells>
  <conditionalFormatting sqref="I87">
    <cfRule type="expression" dxfId="5" priority="7" stopIfTrue="1">
      <formula>IF(AND(B87="",C87="",D87=""),"True",IF((ABS(TREND(B87:D87,$B$5:$D$5,2012,TRUE)-B87)+ABS(TREND(B87:D87,$B$5:$D$5,2013,TRUE)-C87)+ABS(TREND(B87:E87,$B$5:$E$5,2014,TRUE)-D87)/3)&gt;I87*0.05,"True","False"))</formula>
    </cfRule>
  </conditionalFormatting>
  <conditionalFormatting sqref="S87">
    <cfRule type="expression" dxfId="4" priority="3" stopIfTrue="1">
      <formula>IF(AND(B87="",C87="",D87=""),"True",IF((ABS(TREND(B87:G87,$B$5:$G$5,2012,TRUE)-B87)+ABS(TREND(B87:G87,$B$5:$G$5,2013,TRUE)-C87)+ABS(TREND(B87:G87,$B$5:$G$5,2014,TRUE)-D87)+ABS(TREND(B87:G87,$B$5:$G$5,2015,TRUE)-F87)+ABS(TREND(B87:G87,$B$5:$G$5,2016,TRUE)-G87)/5)&gt;N87*0.05,"True","False"))</formula>
    </cfRule>
  </conditionalFormatting>
  <conditionalFormatting sqref="S21">
    <cfRule type="expression" dxfId="3" priority="2" stopIfTrue="1">
      <formula>IF(AND(B21="",C21="",D21=""),"True",IF((ABS(TREND(B21:G21,$B$5:$G$5,2012,TRUE)-B21)+ABS(TREND(B21:G21,$B$5:$G$5,2013,TRUE)-C21)+ABS(TREND(B21:G21,$B$5:$G$5,2014,TRUE)-D21)+ABS(TREND(B21:G21,$B$5:$G$5,2015,TRUE)-F21)+ABS(TREND(B21:G21,$B$5:$G$5,2016,TRUE)-G21)/5)&gt;N21*0.05,"True","False"))</formula>
    </cfRule>
  </conditionalFormatting>
  <dataValidations count="2">
    <dataValidation type="list" allowBlank="1" showInputMessage="1" showErrorMessage="1" sqref="L88 L16:L20 L73:L86 Q88 L70:L71 Q16:Q20 L10 Q10 V10 L66:L68 Q70:Q71 Q66:Q68 Q73:Q86 V16:V20 L12:L14 Q12:Q14 V12:V14 L24:L64 Q24:Q64 V24:V86">
      <formula1>"Trend,CPI,Manual"</formula1>
    </dataValidation>
    <dataValidation type="list" allowBlank="1" showInputMessage="1" showErrorMessage="1" sqref="D2">
      <formula1>"'30 June,'31 December"</formula1>
    </dataValidation>
  </dataValidations>
  <printOptions horizontalCentered="1"/>
  <pageMargins left="0.74803149606299213" right="0.74803149606299213" top="0.59055118110236227" bottom="0.59055118110236227" header="0.31496062992125984" footer="0.31496062992125984"/>
  <pageSetup paperSize="8" scale="71" orientation="landscape" horizontalDpi="300" verticalDpi="300" r:id="rId1"/>
  <headerFooter>
    <oddFooter>&amp;CAs at &amp;D &amp;T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76228EA-723A-41A3-9E19-5FFC0FF5C21D}">
            <xm:f>IF('Service Information'!$A$4="","true","false")</xm:f>
            <x14:dxf>
              <font>
                <color theme="0"/>
              </font>
            </x14:dxf>
          </x14:cfRule>
          <xm:sqref>O1:W2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5"/>
  <sheetViews>
    <sheetView showGridLines="0" zoomScale="85" zoomScaleNormal="85" workbookViewId="0">
      <selection activeCell="A4" sqref="A4:A7"/>
    </sheetView>
  </sheetViews>
  <sheetFormatPr defaultColWidth="8.85546875" defaultRowHeight="15" x14ac:dyDescent="0.25"/>
  <cols>
    <col min="1" max="1" width="81.7109375" style="262" customWidth="1"/>
    <col min="2" max="3" width="21" style="262" customWidth="1"/>
    <col min="4" max="4" width="14" style="262" customWidth="1"/>
    <col min="5" max="5" width="13.85546875" style="262" customWidth="1"/>
    <col min="6" max="6" width="17.28515625" style="262" customWidth="1"/>
    <col min="7" max="7" width="13.7109375" style="262" customWidth="1"/>
    <col min="8" max="8" width="14" style="262" bestFit="1" customWidth="1"/>
    <col min="9" max="9" width="11.5703125" style="262" bestFit="1" customWidth="1"/>
    <col min="10" max="16384" width="8.85546875" style="262"/>
  </cols>
  <sheetData>
    <row r="1" spans="1:7" ht="14.65" customHeight="1" x14ac:dyDescent="0.25">
      <c r="D1" s="295"/>
      <c r="E1" s="295"/>
      <c r="F1" s="295"/>
    </row>
    <row r="2" spans="1:7" ht="14.65" customHeight="1" x14ac:dyDescent="0.25">
      <c r="C2" s="295"/>
      <c r="D2" s="295"/>
      <c r="E2" s="295"/>
      <c r="F2" s="295"/>
    </row>
    <row r="3" spans="1:7" ht="14.65" customHeight="1" x14ac:dyDescent="0.25">
      <c r="A3" s="293"/>
      <c r="B3" s="293"/>
      <c r="C3" s="294"/>
      <c r="D3" s="294"/>
      <c r="E3" s="294"/>
      <c r="F3" s="294"/>
    </row>
    <row r="4" spans="1:7" ht="19.149999999999999" customHeight="1" x14ac:dyDescent="0.25">
      <c r="A4" s="385" t="s">
        <v>213</v>
      </c>
      <c r="B4" s="386">
        <f>'Service Information'!A4</f>
        <v>0</v>
      </c>
      <c r="C4" s="386"/>
      <c r="D4" s="294"/>
      <c r="E4" s="294"/>
      <c r="F4" s="294"/>
    </row>
    <row r="5" spans="1:7" ht="19.149999999999999" customHeight="1" x14ac:dyDescent="0.25">
      <c r="A5" s="385"/>
      <c r="B5" s="386"/>
      <c r="C5" s="386"/>
      <c r="D5" s="294"/>
      <c r="E5" s="294"/>
      <c r="F5" s="294"/>
    </row>
    <row r="6" spans="1:7" ht="19.149999999999999" customHeight="1" x14ac:dyDescent="0.25">
      <c r="A6" s="385"/>
      <c r="B6" s="386"/>
      <c r="C6" s="386"/>
      <c r="D6" s="294"/>
      <c r="E6" s="294"/>
      <c r="F6" s="294"/>
    </row>
    <row r="7" spans="1:7" ht="19.149999999999999" customHeight="1" x14ac:dyDescent="0.25">
      <c r="A7" s="385"/>
      <c r="B7" s="386"/>
      <c r="C7" s="386"/>
    </row>
    <row r="8" spans="1:7" hidden="1" x14ac:dyDescent="0.25">
      <c r="A8" s="252"/>
      <c r="B8" s="389" t="str">
        <f>'Budget Projections'!M5</f>
        <v>2017 Budget</v>
      </c>
      <c r="C8" s="389" t="str">
        <f>'Budget Projections'!R5</f>
        <v>2018 Budget</v>
      </c>
      <c r="D8" s="390" t="str">
        <f>'Budget Projections'!W5</f>
        <v>2019 Budget</v>
      </c>
      <c r="E8" s="271"/>
      <c r="F8" s="272" t="s">
        <v>26</v>
      </c>
      <c r="G8" s="252"/>
    </row>
    <row r="9" spans="1:7" hidden="1" x14ac:dyDescent="0.25">
      <c r="A9" s="276" t="s">
        <v>16</v>
      </c>
      <c r="B9" s="389"/>
      <c r="C9" s="389"/>
      <c r="D9" s="391"/>
      <c r="E9" s="242"/>
      <c r="F9" s="291">
        <v>0</v>
      </c>
      <c r="G9" s="252"/>
    </row>
    <row r="10" spans="1:7" hidden="1" x14ac:dyDescent="0.25">
      <c r="A10" s="252" t="s">
        <v>81</v>
      </c>
      <c r="B10" s="307">
        <f>'Budget Projections'!M87</f>
        <v>0</v>
      </c>
      <c r="C10" s="307">
        <f>'Budget Projections'!R87</f>
        <v>0</v>
      </c>
      <c r="D10" s="296">
        <f>'Budget Projections'!W87</f>
        <v>0</v>
      </c>
      <c r="E10" s="273"/>
      <c r="F10" s="12"/>
      <c r="G10" s="252"/>
    </row>
    <row r="11" spans="1:7" hidden="1" x14ac:dyDescent="0.25">
      <c r="A11" s="252" t="s">
        <v>82</v>
      </c>
      <c r="B11" s="308">
        <f>'Budget Projections'!M4</f>
        <v>0</v>
      </c>
      <c r="C11" s="308">
        <f>'Budget Projections'!R4</f>
        <v>0</v>
      </c>
      <c r="D11" s="297">
        <f>'Budget Projections'!W4</f>
        <v>0</v>
      </c>
      <c r="E11" s="273"/>
      <c r="F11" s="292" t="s">
        <v>27</v>
      </c>
      <c r="G11" s="274"/>
    </row>
    <row r="12" spans="1:7" hidden="1" x14ac:dyDescent="0.25">
      <c r="A12" s="276" t="s">
        <v>23</v>
      </c>
      <c r="B12" s="309">
        <f>SUM(B10:B11)</f>
        <v>0</v>
      </c>
      <c r="C12" s="309">
        <f>SUM(C10:C11)</f>
        <v>0</v>
      </c>
      <c r="D12" s="298">
        <f>SUM(D10:D11)</f>
        <v>0</v>
      </c>
      <c r="E12" s="273"/>
      <c r="F12" s="291">
        <v>0</v>
      </c>
      <c r="G12" s="252"/>
    </row>
    <row r="13" spans="1:7" hidden="1" x14ac:dyDescent="0.25">
      <c r="A13" s="252"/>
      <c r="B13" s="307"/>
      <c r="C13" s="307"/>
      <c r="D13" s="296"/>
      <c r="E13" s="273"/>
      <c r="G13" s="252"/>
    </row>
    <row r="14" spans="1:7" hidden="1" x14ac:dyDescent="0.25">
      <c r="A14" s="310" t="s">
        <v>148</v>
      </c>
      <c r="B14" s="307" t="e">
        <f>SUM('Budget Projections'!M9:M14,'Budget Projections'!M16:M20)-'PFM Amounts'!H21-'PFM Amounts'!H22-'PFM Amounts'!H25</f>
        <v>#DIV/0!</v>
      </c>
      <c r="C14" s="307" t="e">
        <f>SUM('Budget Projections'!R9:R14,'Budget Projections'!R16:R20)-'PFM Amounts'!H33-'PFM Amounts'!H34-'PFM Amounts'!H37</f>
        <v>#DIV/0!</v>
      </c>
      <c r="D14" s="296" t="e">
        <f>SUM('Budget Projections'!W9:W14,'Budget Projections'!W16:W20)-'PFM Amounts'!H45-'PFM Amounts'!H46-'PFM Amounts'!H49</f>
        <v>#DIV/0!</v>
      </c>
    </row>
    <row r="15" spans="1:7" hidden="1" x14ac:dyDescent="0.25">
      <c r="A15" s="310" t="s">
        <v>147</v>
      </c>
      <c r="B15" s="311" t="e">
        <f>'PFM Amounts'!H26-'PFM Amounts'!H23-'PFM Amounts'!H24</f>
        <v>#DIV/0!</v>
      </c>
      <c r="C15" s="311" t="e">
        <f>'PFM Amounts'!H38-'PFM Amounts'!H35-'PFM Amounts'!H36</f>
        <v>#DIV/0!</v>
      </c>
      <c r="D15" s="299" t="e">
        <f>'PFM Amounts'!H50-'PFM Amounts'!H47-'PFM Amounts'!H48</f>
        <v>#DIV/0!</v>
      </c>
    </row>
    <row r="16" spans="1:7" hidden="1" x14ac:dyDescent="0.25">
      <c r="A16" s="276" t="s">
        <v>17</v>
      </c>
      <c r="B16" s="309" t="e">
        <f>B12-B14-B15</f>
        <v>#DIV/0!</v>
      </c>
      <c r="C16" s="309" t="e">
        <f>C12-C14-C15</f>
        <v>#DIV/0!</v>
      </c>
      <c r="D16" s="300" t="e">
        <f>D12-D14-D15</f>
        <v>#DIV/0!</v>
      </c>
      <c r="E16" s="275"/>
      <c r="F16" s="12"/>
      <c r="G16" s="274"/>
    </row>
    <row r="17" spans="1:10" hidden="1" x14ac:dyDescent="0.25">
      <c r="A17" s="276"/>
      <c r="B17" s="236"/>
      <c r="C17" s="236"/>
      <c r="E17" s="275"/>
      <c r="G17" s="274"/>
    </row>
    <row r="18" spans="1:10" hidden="1" x14ac:dyDescent="0.25">
      <c r="A18" s="312"/>
      <c r="B18" s="312"/>
      <c r="C18" s="312"/>
      <c r="E18" s="275"/>
      <c r="G18" s="274"/>
    </row>
    <row r="19" spans="1:10" hidden="1" x14ac:dyDescent="0.25">
      <c r="A19" s="276" t="s">
        <v>126</v>
      </c>
      <c r="B19" s="387" t="s">
        <v>204</v>
      </c>
      <c r="C19" s="387"/>
      <c r="D19" s="388" t="s">
        <v>205</v>
      </c>
      <c r="E19" s="388"/>
      <c r="F19" s="388" t="s">
        <v>141</v>
      </c>
      <c r="G19" s="388"/>
    </row>
    <row r="20" spans="1:10" hidden="1" x14ac:dyDescent="0.25">
      <c r="A20" s="277" t="s">
        <v>108</v>
      </c>
      <c r="B20" s="278"/>
      <c r="C20" s="278"/>
      <c r="D20" s="278"/>
      <c r="E20" s="278"/>
      <c r="F20" s="278"/>
      <c r="G20" s="278"/>
    </row>
    <row r="21" spans="1:10" hidden="1" x14ac:dyDescent="0.25">
      <c r="A21" s="313" t="s">
        <v>19</v>
      </c>
      <c r="B21" s="314">
        <f>B24-VLOOKUP(1,'Service Information'!$K$5:$M$22,3,FALSE)</f>
        <v>-54.019696428571358</v>
      </c>
      <c r="C21" s="314">
        <f>$C$24-VLOOKUP(1,'Service Information'!$K$5:$M$22,3,FALSE)</f>
        <v>-54.019696428571358</v>
      </c>
      <c r="D21" s="279">
        <f>D24-VLOOKUP(1,'Service Information'!$K$5:$M$22,3,FALSE)</f>
        <v>-54.019696428571358</v>
      </c>
      <c r="E21" s="279">
        <f>$E$24-VLOOKUP(1,'Service Information'!$K$5:$M$22,3,FALSE)</f>
        <v>-54.019696428571358</v>
      </c>
      <c r="F21" s="279">
        <f>F24-VLOOKUP(1,'Service Information'!$K$5:$M$22,3,FALSE)</f>
        <v>-54.019696428571358</v>
      </c>
      <c r="G21" s="279">
        <f>$G$24-VLOOKUP(1,'Service Information'!$K$5:$M$22,3,FALSE)</f>
        <v>-54.019696428571358</v>
      </c>
      <c r="J21" s="10"/>
    </row>
    <row r="22" spans="1:10" hidden="1" x14ac:dyDescent="0.25">
      <c r="A22" s="313" t="s">
        <v>20</v>
      </c>
      <c r="B22" s="314" t="e">
        <f>B24-VLOOKUP('Service Information'!$B$6,'Service Information'!$K$5:$M$22,3,FALSE)</f>
        <v>#N/A</v>
      </c>
      <c r="C22" s="314" t="e">
        <f>$C$24-VLOOKUP('Service Information'!$B$6,'Service Information'!$K$5:$M$22,3,FALSE)</f>
        <v>#N/A</v>
      </c>
      <c r="D22" s="279" t="e">
        <f>D24-VLOOKUP('Service Information'!$B$6,'Service Information'!$K$5:$M$22,3,FALSE)</f>
        <v>#N/A</v>
      </c>
      <c r="E22" s="279" t="e">
        <f>$E$24-VLOOKUP('Service Information'!$B$6,'Service Information'!$K$5:$M$22,3,FALSE)</f>
        <v>#N/A</v>
      </c>
      <c r="F22" s="279" t="e">
        <f>F24-VLOOKUP('Service Information'!$B$6,'Service Information'!$K$5:$M$22,3,FALSE)</f>
        <v>#N/A</v>
      </c>
      <c r="G22" s="279" t="e">
        <f>$G$24-VLOOKUP('Service Information'!$B$6,'Service Information'!$K$5:$M$22,3,FALSE)</f>
        <v>#N/A</v>
      </c>
    </row>
    <row r="23" spans="1:10" s="12" customFormat="1" hidden="1" x14ac:dyDescent="0.25">
      <c r="A23" s="313" t="s">
        <v>18</v>
      </c>
      <c r="B23" s="314">
        <f>B24-VLOOKUP(1,'Service Information'!$K$5:$M$22,3,FALSE)</f>
        <v>-54.019696428571358</v>
      </c>
      <c r="C23" s="314">
        <f>$C$24-VLOOKUP(1,'Service Information'!$K$5:$M$22,3,FALSE)</f>
        <v>-54.019696428571358</v>
      </c>
      <c r="D23" s="279">
        <f>D24-VLOOKUP(1,'Service Information'!$K$5:$M$22,3,FALSE)</f>
        <v>-54.019696428571358</v>
      </c>
      <c r="E23" s="279">
        <f>$E$24-VLOOKUP(1,'Service Information'!$K$5:$M$22,3,FALSE)</f>
        <v>-54.019696428571358</v>
      </c>
      <c r="F23" s="279">
        <f>F24-VLOOKUP(1,'Service Information'!$K$5:$M$22,3,FALSE)</f>
        <v>-54.019696428571358</v>
      </c>
      <c r="G23" s="279">
        <f>$G$24-VLOOKUP(1,'Service Information'!$K$5:$M$22,3,FALSE)</f>
        <v>-54.019696428571358</v>
      </c>
    </row>
    <row r="24" spans="1:10" hidden="1" x14ac:dyDescent="0.25">
      <c r="A24" s="313" t="s">
        <v>21</v>
      </c>
      <c r="B24" s="314">
        <v>0</v>
      </c>
      <c r="C24" s="314">
        <v>0</v>
      </c>
      <c r="D24" s="279">
        <v>0</v>
      </c>
      <c r="E24" s="279">
        <v>0</v>
      </c>
      <c r="F24" s="279">
        <v>0</v>
      </c>
      <c r="G24" s="279">
        <v>0</v>
      </c>
    </row>
    <row r="25" spans="1:10" hidden="1" x14ac:dyDescent="0.25">
      <c r="A25" s="310" t="s">
        <v>83</v>
      </c>
      <c r="B25" s="315"/>
      <c r="C25" s="315"/>
      <c r="D25" s="301"/>
      <c r="E25" s="280"/>
      <c r="F25" s="280"/>
      <c r="G25" s="280"/>
    </row>
    <row r="26" spans="1:10" hidden="1" x14ac:dyDescent="0.25">
      <c r="A26" s="316" t="s">
        <v>30</v>
      </c>
      <c r="B26" s="317" t="e">
        <f>'Service Information'!$B$12*($B$21*'PFM Amounts'!$E$36+$B$22*'PFM Amounts'!$E$37+$B$23*'PFM Amounts'!$E$38+$B$24*'PFM Amounts'!$E$39)+$B$15-$B$12+$B14+$B$11</f>
        <v>#N/A</v>
      </c>
      <c r="C26" s="317" t="e">
        <f>'Service Information'!$B$12*($C$21*'PFM Amounts'!$E$48+$C$22*'PFM Amounts'!$E$49+$C$23*'PFM Amounts'!$E$50+$C$24*'PFM Amounts'!$E$51)+$C$15-$C$12+$C$14+$C$11</f>
        <v>#N/A</v>
      </c>
      <c r="D26" s="302" t="e">
        <f>'Service Information'!$B$12*($B$21*'PFM Amounts'!$E$36+$B$22*'PFM Amounts'!$E$37+$B$23*'PFM Amounts'!$E$38)+$B$15-$B$12+$B14+$B$11</f>
        <v>#N/A</v>
      </c>
      <c r="E26" s="281" t="e">
        <f>'Service Information'!$B$12*($C$21*'PFM Amounts'!$E$48+$C$22*'PFM Amounts'!$E$49+$C$23*'PFM Amounts'!$E$50)+$C$15-$C$12+$C$14+$C$11</f>
        <v>#N/A</v>
      </c>
      <c r="F26" s="281" t="e">
        <f>'Service Information'!$B$12*($B$21*'PFM Amounts'!$E$36+$B$22*'PFM Amounts'!$E$37+$B$23*'PFM Amounts'!$E$38+$B$22*'PFM Amounts'!$E$39)+$B$15-$B$12+$B14+$B$11</f>
        <v>#N/A</v>
      </c>
      <c r="G26" s="281" t="e">
        <f>'Service Information'!$B$12*($C$21*'PFM Amounts'!$E$48+$C$22*'PFM Amounts'!$E$49+$C$23*'PFM Amounts'!$E$50+$C$22*'PFM Amounts'!$E$51)+$C$15-$C$12+$C$14+$C$11</f>
        <v>#N/A</v>
      </c>
    </row>
    <row r="27" spans="1:10" hidden="1" x14ac:dyDescent="0.25">
      <c r="A27" s="313" t="s">
        <v>39</v>
      </c>
      <c r="B27" s="278" t="e">
        <f>(+$B$11-$B$26)/('PFM Amounts'!$E$40*'Service Information'!$B$12)</f>
        <v>#N/A</v>
      </c>
      <c r="C27" s="278" t="e">
        <f>($C$11-$C$26)/('PFM Amounts'!$E$52*'Service Information'!$B$12)</f>
        <v>#N/A</v>
      </c>
      <c r="D27" s="303" t="e">
        <f>(+$B$11-$D$26)/(('PFM Amounts'!$E$40-'PFM Amounts'!E39)*'Service Information'!$B$12)</f>
        <v>#N/A</v>
      </c>
      <c r="E27" s="282" t="e">
        <f>($C$11-$E$26)/(('PFM Amounts'!$E$52-'PFM Amounts'!$E$51)*'Service Information'!$B$12)</f>
        <v>#N/A</v>
      </c>
      <c r="F27" s="282" t="e">
        <f>(+$B$11-$F$26)/('PFM Amounts'!$E$40*'Service Information'!$B$12)</f>
        <v>#N/A</v>
      </c>
      <c r="G27" s="282" t="e">
        <f>($C$11-$G$26)/('PFM Amounts'!$E$52*'Service Information'!$B$12)</f>
        <v>#N/A</v>
      </c>
    </row>
    <row r="28" spans="1:10" hidden="1" x14ac:dyDescent="0.25">
      <c r="A28" s="318" t="s">
        <v>106</v>
      </c>
      <c r="B28" s="318"/>
      <c r="C28" s="318"/>
      <c r="D28" s="304"/>
      <c r="E28" s="283"/>
      <c r="F28" s="283"/>
      <c r="G28" s="283"/>
    </row>
    <row r="29" spans="1:10" hidden="1" x14ac:dyDescent="0.25">
      <c r="A29" s="313" t="s">
        <v>19</v>
      </c>
      <c r="B29" s="314" t="e">
        <f>MAX($B$21+$B$27,$F$9)</f>
        <v>#N/A</v>
      </c>
      <c r="C29" s="314" t="e">
        <f>MAX($C$21+$C$27,$F$9)</f>
        <v>#N/A</v>
      </c>
      <c r="D29" s="305" t="e">
        <f>MAX($D$21+$D$27,$F$9)</f>
        <v>#N/A</v>
      </c>
      <c r="E29" s="284" t="e">
        <f>MAX($E$21+$E$27,$F$9)</f>
        <v>#N/A</v>
      </c>
      <c r="F29" s="284" t="e">
        <f>MAX($F$21+$F$27,$F$9)</f>
        <v>#N/A</v>
      </c>
      <c r="G29" s="284" t="e">
        <f>MAX($G$21+$G$27,$F$9)</f>
        <v>#N/A</v>
      </c>
    </row>
    <row r="30" spans="1:10" hidden="1" x14ac:dyDescent="0.25">
      <c r="A30" s="313" t="s">
        <v>20</v>
      </c>
      <c r="B30" s="314" t="e">
        <f>MAX($B$22+$B$27,$F$12)</f>
        <v>#N/A</v>
      </c>
      <c r="C30" s="314" t="e">
        <f>MAX($C$22+$C$27,$F$12)</f>
        <v>#N/A</v>
      </c>
      <c r="D30" s="305" t="e">
        <f>MAX($D$22+$D$27,$F$12)</f>
        <v>#N/A</v>
      </c>
      <c r="E30" s="284" t="e">
        <f>MAX($E$22+$E$27,$F$12)</f>
        <v>#N/A</v>
      </c>
      <c r="F30" s="284" t="e">
        <f>MAX($F$22+$F$27,$F$12)</f>
        <v>#N/A</v>
      </c>
      <c r="G30" s="284" t="e">
        <f>MAX($G$22+$G$27,$F$12)</f>
        <v>#N/A</v>
      </c>
    </row>
    <row r="31" spans="1:10" hidden="1" x14ac:dyDescent="0.25">
      <c r="A31" s="313" t="s">
        <v>18</v>
      </c>
      <c r="B31" s="314" t="e">
        <f>MAX($B$23+$B$27,$F$9)</f>
        <v>#N/A</v>
      </c>
      <c r="C31" s="314" t="e">
        <f>MAX($C$23+$C$27,$F$9)</f>
        <v>#N/A</v>
      </c>
      <c r="D31" s="305" t="e">
        <f>MAX($D$23+$D$27,$F$9)</f>
        <v>#N/A</v>
      </c>
      <c r="E31" s="284" t="e">
        <f>MAX($E$23+$E$27,$F$9)</f>
        <v>#N/A</v>
      </c>
      <c r="F31" s="284" t="e">
        <f>MAX($F$23+$F$27,$F$9)</f>
        <v>#N/A</v>
      </c>
      <c r="G31" s="284" t="e">
        <f>MAX($G$23+$G$27,$F$9)</f>
        <v>#N/A</v>
      </c>
    </row>
    <row r="32" spans="1:10" ht="13.9" hidden="1" customHeight="1" x14ac:dyDescent="0.25">
      <c r="A32" s="313" t="s">
        <v>21</v>
      </c>
      <c r="B32" s="314" t="e">
        <f>MAX($B$24+$B$27,$F$12)</f>
        <v>#N/A</v>
      </c>
      <c r="C32" s="314" t="e">
        <f>MAX($C$24+$C$27,$F$12)</f>
        <v>#N/A</v>
      </c>
      <c r="D32" s="306">
        <v>0</v>
      </c>
      <c r="E32" s="285">
        <v>0</v>
      </c>
      <c r="F32" s="285" t="e">
        <f>$F$30</f>
        <v>#N/A</v>
      </c>
      <c r="G32" s="285" t="e">
        <f>$G$30</f>
        <v>#N/A</v>
      </c>
    </row>
    <row r="33" spans="1:3" hidden="1" x14ac:dyDescent="0.25">
      <c r="A33" s="252"/>
      <c r="B33" s="252"/>
      <c r="C33" s="252"/>
    </row>
    <row r="34" spans="1:3" ht="28.9" customHeight="1" x14ac:dyDescent="0.25">
      <c r="A34" s="384" t="s">
        <v>207</v>
      </c>
      <c r="B34" s="384"/>
      <c r="C34" s="384"/>
    </row>
    <row r="35" spans="1:3" ht="30" customHeight="1" x14ac:dyDescent="0.25">
      <c r="A35" s="347" t="s">
        <v>206</v>
      </c>
      <c r="B35" s="348">
        <f>'Budget Projections'!F5</f>
        <v>2017</v>
      </c>
      <c r="C35" s="348">
        <f>'Budget Projections'!G5</f>
        <v>2018</v>
      </c>
    </row>
    <row r="36" spans="1:3" x14ac:dyDescent="0.25">
      <c r="A36" s="286" t="s">
        <v>19</v>
      </c>
      <c r="B36" s="287" t="e">
        <f>F29</f>
        <v>#N/A</v>
      </c>
      <c r="C36" s="287" t="e">
        <f>G29</f>
        <v>#N/A</v>
      </c>
    </row>
    <row r="37" spans="1:3" x14ac:dyDescent="0.25">
      <c r="A37" s="286" t="s">
        <v>20</v>
      </c>
      <c r="B37" s="287" t="e">
        <f t="shared" ref="B37:C37" si="0">F30</f>
        <v>#N/A</v>
      </c>
      <c r="C37" s="287" t="e">
        <f t="shared" si="0"/>
        <v>#N/A</v>
      </c>
    </row>
    <row r="38" spans="1:3" x14ac:dyDescent="0.25">
      <c r="A38" s="286" t="s">
        <v>18</v>
      </c>
      <c r="B38" s="287" t="e">
        <f t="shared" ref="B38:C38" si="1">F31</f>
        <v>#N/A</v>
      </c>
      <c r="C38" s="287" t="e">
        <f t="shared" si="1"/>
        <v>#N/A</v>
      </c>
    </row>
    <row r="39" spans="1:3" x14ac:dyDescent="0.25">
      <c r="A39" s="286" t="s">
        <v>21</v>
      </c>
      <c r="B39" s="287" t="e">
        <f t="shared" ref="B39:C39" si="2">F32</f>
        <v>#N/A</v>
      </c>
      <c r="C39" s="287" t="e">
        <f t="shared" si="2"/>
        <v>#N/A</v>
      </c>
    </row>
    <row r="42" spans="1:3" ht="28.9" customHeight="1" x14ac:dyDescent="0.25">
      <c r="A42" s="384" t="s">
        <v>208</v>
      </c>
      <c r="B42" s="384"/>
      <c r="C42" s="384"/>
    </row>
    <row r="43" spans="1:3" ht="30" customHeight="1" x14ac:dyDescent="0.25">
      <c r="A43" s="347" t="s">
        <v>206</v>
      </c>
      <c r="B43" s="348">
        <f>B35</f>
        <v>2017</v>
      </c>
      <c r="C43" s="348">
        <f>C35</f>
        <v>2018</v>
      </c>
    </row>
    <row r="44" spans="1:3" x14ac:dyDescent="0.25">
      <c r="A44" s="286" t="s">
        <v>19</v>
      </c>
      <c r="B44" s="287" t="e">
        <f>B29</f>
        <v>#N/A</v>
      </c>
      <c r="C44" s="287" t="e">
        <f>C29</f>
        <v>#N/A</v>
      </c>
    </row>
    <row r="45" spans="1:3" x14ac:dyDescent="0.25">
      <c r="A45" s="286" t="s">
        <v>20</v>
      </c>
      <c r="B45" s="287" t="e">
        <f t="shared" ref="B45:C45" si="3">B30</f>
        <v>#N/A</v>
      </c>
      <c r="C45" s="287" t="e">
        <f t="shared" si="3"/>
        <v>#N/A</v>
      </c>
    </row>
    <row r="46" spans="1:3" x14ac:dyDescent="0.25">
      <c r="A46" s="286" t="s">
        <v>18</v>
      </c>
      <c r="B46" s="287" t="e">
        <f t="shared" ref="B46:C46" si="4">B31</f>
        <v>#N/A</v>
      </c>
      <c r="C46" s="287" t="e">
        <f t="shared" si="4"/>
        <v>#N/A</v>
      </c>
    </row>
    <row r="47" spans="1:3" x14ac:dyDescent="0.25">
      <c r="A47" s="286" t="s">
        <v>21</v>
      </c>
      <c r="B47" s="287" t="e">
        <f t="shared" ref="B47:C47" si="5">B32</f>
        <v>#N/A</v>
      </c>
      <c r="C47" s="287" t="e">
        <f t="shared" si="5"/>
        <v>#N/A</v>
      </c>
    </row>
    <row r="49" spans="1:3" x14ac:dyDescent="0.25">
      <c r="C49" s="273"/>
    </row>
    <row r="50" spans="1:3" ht="29.45" customHeight="1" x14ac:dyDescent="0.25">
      <c r="A50" s="384" t="s">
        <v>209</v>
      </c>
      <c r="B50" s="384"/>
      <c r="C50" s="384"/>
    </row>
    <row r="51" spans="1:3" ht="30" customHeight="1" x14ac:dyDescent="0.25">
      <c r="A51" s="347" t="s">
        <v>206</v>
      </c>
      <c r="B51" s="348">
        <f>B35</f>
        <v>2017</v>
      </c>
      <c r="C51" s="348">
        <f>C35</f>
        <v>2018</v>
      </c>
    </row>
    <row r="52" spans="1:3" x14ac:dyDescent="0.25">
      <c r="A52" s="286" t="s">
        <v>19</v>
      </c>
      <c r="B52" s="287" t="e">
        <f>D29</f>
        <v>#N/A</v>
      </c>
      <c r="C52" s="287" t="e">
        <f>E29</f>
        <v>#N/A</v>
      </c>
    </row>
    <row r="53" spans="1:3" x14ac:dyDescent="0.25">
      <c r="A53" s="286" t="s">
        <v>20</v>
      </c>
      <c r="B53" s="287" t="e">
        <f t="shared" ref="B53:C53" si="6">D30</f>
        <v>#N/A</v>
      </c>
      <c r="C53" s="287" t="e">
        <f t="shared" si="6"/>
        <v>#N/A</v>
      </c>
    </row>
    <row r="54" spans="1:3" x14ac:dyDescent="0.25">
      <c r="A54" s="286" t="s">
        <v>18</v>
      </c>
      <c r="B54" s="287" t="e">
        <f t="shared" ref="B54:C54" si="7">D31</f>
        <v>#N/A</v>
      </c>
      <c r="C54" s="287" t="e">
        <f t="shared" si="7"/>
        <v>#N/A</v>
      </c>
    </row>
    <row r="55" spans="1:3" x14ac:dyDescent="0.25">
      <c r="A55" s="286" t="s">
        <v>21</v>
      </c>
      <c r="B55" s="287">
        <f t="shared" ref="B55:C55" si="8">D32</f>
        <v>0</v>
      </c>
      <c r="C55" s="287">
        <f t="shared" si="8"/>
        <v>0</v>
      </c>
    </row>
  </sheetData>
  <sheetProtection algorithmName="SHA-512" hashValue="CPfyhfAlUMic3HlmlbVN9FgHXKlPc9dHx/lbNg9k3apTgpPkf0YUxuYEKCi86yRyWWjyPbF2DUSLAd0gXvhbBg==" saltValue="cpbYDg/LuOnJYUfpG93ZVg==" spinCount="100000" sheet="1" objects="1" scenarios="1"/>
  <mergeCells count="11">
    <mergeCell ref="F19:G19"/>
    <mergeCell ref="A34:C34"/>
    <mergeCell ref="A42:C42"/>
    <mergeCell ref="B8:B9"/>
    <mergeCell ref="C8:C9"/>
    <mergeCell ref="D8:D9"/>
    <mergeCell ref="A50:C50"/>
    <mergeCell ref="A4:A7"/>
    <mergeCell ref="B4:C7"/>
    <mergeCell ref="B19:C19"/>
    <mergeCell ref="D19:E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0983DA4-0FBC-44A9-9185-8082C484F960}">
            <xm:f>IF('Service Information'!$A$4="","true","false")</xm:f>
            <x14:dxf>
              <font>
                <color theme="0"/>
              </font>
            </x14:dxf>
          </x14:cfRule>
          <xm:sqref>B4:C7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3"/>
  <sheetViews>
    <sheetView workbookViewId="0">
      <selection activeCell="A2" sqref="A2:A3"/>
    </sheetView>
  </sheetViews>
  <sheetFormatPr defaultRowHeight="15" x14ac:dyDescent="0.25"/>
  <cols>
    <col min="1" max="1" width="54.7109375" bestFit="1" customWidth="1"/>
    <col min="2" max="4" width="18" customWidth="1"/>
  </cols>
  <sheetData>
    <row r="1" spans="1:4" s="240" customFormat="1" ht="44.45" customHeight="1" x14ac:dyDescent="0.25"/>
    <row r="2" spans="1:4" ht="22.15" customHeight="1" x14ac:dyDescent="0.25">
      <c r="A2" s="373" t="s">
        <v>129</v>
      </c>
      <c r="B2" s="392">
        <f>'Service Information'!A4</f>
        <v>0</v>
      </c>
      <c r="C2" s="392"/>
      <c r="D2" s="392"/>
    </row>
    <row r="3" spans="1:4" ht="22.15" customHeight="1" thickBot="1" x14ac:dyDescent="0.3">
      <c r="A3" s="375"/>
      <c r="B3" s="393"/>
      <c r="C3" s="393"/>
      <c r="D3" s="393"/>
    </row>
    <row r="4" spans="1:4" ht="15.75" thickTop="1" x14ac:dyDescent="0.25">
      <c r="B4" s="183"/>
      <c r="C4" s="183"/>
      <c r="D4" s="183"/>
    </row>
    <row r="5" spans="1:4" x14ac:dyDescent="0.25">
      <c r="A5" s="121" t="s">
        <v>43</v>
      </c>
      <c r="B5" s="183" t="str">
        <f>'Fee Setting'!B8</f>
        <v>2017 Budget</v>
      </c>
      <c r="C5" s="183" t="str">
        <f>'Fee Setting'!C8</f>
        <v>2018 Budget</v>
      </c>
      <c r="D5" s="183" t="str">
        <f>'Fee Setting'!D8</f>
        <v>2019 Budget</v>
      </c>
    </row>
    <row r="6" spans="1:4" x14ac:dyDescent="0.25">
      <c r="A6" s="120"/>
      <c r="B6" s="120"/>
      <c r="C6" s="120"/>
      <c r="D6" s="120"/>
    </row>
    <row r="7" spans="1:4" x14ac:dyDescent="0.25">
      <c r="A7" s="121" t="str">
        <f>'Budget Projections'!A8</f>
        <v>Income</v>
      </c>
      <c r="B7" s="120"/>
      <c r="C7" s="120"/>
      <c r="D7" s="120"/>
    </row>
    <row r="8" spans="1:4" x14ac:dyDescent="0.25">
      <c r="A8" s="120" t="str">
        <f>'Budget Projections'!A9</f>
        <v>PFM Grant</v>
      </c>
      <c r="B8" s="185" t="e">
        <f>'Budget Projections'!M9</f>
        <v>#DIV/0!</v>
      </c>
      <c r="C8" s="185" t="e">
        <f>'Budget Projections'!R9</f>
        <v>#DIV/0!</v>
      </c>
      <c r="D8" s="185" t="e">
        <f>'Budget Projections'!W9</f>
        <v>#DIV/0!</v>
      </c>
    </row>
    <row r="9" spans="1:4" x14ac:dyDescent="0.25">
      <c r="A9" s="120" t="str">
        <f>'Budget Projections'!A10</f>
        <v>PDSP Grant - Targetted</v>
      </c>
      <c r="B9" s="185">
        <f>'Budget Projections'!M10</f>
        <v>0</v>
      </c>
      <c r="C9" s="185">
        <f>'Budget Projections'!R10</f>
        <v>0</v>
      </c>
      <c r="D9" s="185">
        <f>'Budget Projections'!W10</f>
        <v>0</v>
      </c>
    </row>
    <row r="10" spans="1:4" x14ac:dyDescent="0.25">
      <c r="A10" s="120" t="str">
        <f>'Budget Projections'!A11</f>
        <v>PDSP Grant - UDL</v>
      </c>
      <c r="B10" s="185">
        <f>'Budget Projections'!M11</f>
        <v>0</v>
      </c>
      <c r="C10" s="185">
        <f>'Budget Projections'!R11</f>
        <v>0</v>
      </c>
      <c r="D10" s="185">
        <f>'Budget Projections'!W11</f>
        <v>0</v>
      </c>
    </row>
    <row r="11" spans="1:4" x14ac:dyDescent="0.25">
      <c r="A11" s="120" t="str">
        <f>'Budget Projections'!A12</f>
        <v>Other Government Grants</v>
      </c>
      <c r="B11" s="185">
        <f>'Budget Projections'!M12</f>
        <v>0</v>
      </c>
      <c r="C11" s="185">
        <f>'Budget Projections'!R12</f>
        <v>0</v>
      </c>
      <c r="D11" s="185">
        <f>'Budget Projections'!W12</f>
        <v>0</v>
      </c>
    </row>
    <row r="12" spans="1:4" x14ac:dyDescent="0.25">
      <c r="A12" s="120" t="str">
        <f>'Budget Projections'!A13</f>
        <v>Donations Received - DGR</v>
      </c>
      <c r="B12" s="185">
        <f>'Budget Projections'!M13</f>
        <v>0</v>
      </c>
      <c r="C12" s="185">
        <f>'Budget Projections'!R13</f>
        <v>0</v>
      </c>
      <c r="D12" s="185">
        <f>'Budget Projections'!W13</f>
        <v>0</v>
      </c>
    </row>
    <row r="13" spans="1:4" x14ac:dyDescent="0.25">
      <c r="A13" s="120" t="str">
        <f>'Budget Projections'!A14</f>
        <v>Equipment Levy</v>
      </c>
      <c r="B13" s="185">
        <f>'Budget Projections'!M14</f>
        <v>0</v>
      </c>
      <c r="C13" s="185">
        <f>'Budget Projections'!R14</f>
        <v>0</v>
      </c>
      <c r="D13" s="185">
        <f>'Budget Projections'!W14</f>
        <v>0</v>
      </c>
    </row>
    <row r="14" spans="1:4" x14ac:dyDescent="0.25">
      <c r="A14" s="120" t="str">
        <f>'Budget Projections'!A15</f>
        <v>Fees</v>
      </c>
      <c r="B14" s="185" t="e">
        <f>'Budget Projections'!M15</f>
        <v>#DIV/0!</v>
      </c>
      <c r="C14" s="185" t="e">
        <f>'Budget Projections'!R15</f>
        <v>#DIV/0!</v>
      </c>
      <c r="D14" s="185" t="e">
        <f>'Budget Projections'!W15</f>
        <v>#DIV/0!</v>
      </c>
    </row>
    <row r="15" spans="1:4" x14ac:dyDescent="0.25">
      <c r="A15" s="120" t="str">
        <f>'Budget Projections'!A16</f>
        <v>Sponsorship</v>
      </c>
      <c r="B15" s="185">
        <f>'Budget Projections'!M16</f>
        <v>0</v>
      </c>
      <c r="C15" s="185">
        <f>'Budget Projections'!R16</f>
        <v>0</v>
      </c>
      <c r="D15" s="185">
        <f>'Budget Projections'!W16</f>
        <v>0</v>
      </c>
    </row>
    <row r="16" spans="1:4" x14ac:dyDescent="0.25">
      <c r="A16" s="120" t="str">
        <f>'Budget Projections'!A17</f>
        <v>Membership Fees</v>
      </c>
      <c r="B16" s="185">
        <f>'Budget Projections'!M17</f>
        <v>0</v>
      </c>
      <c r="C16" s="185">
        <f>'Budget Projections'!R17</f>
        <v>0</v>
      </c>
      <c r="D16" s="185">
        <f>'Budget Projections'!W17</f>
        <v>0</v>
      </c>
    </row>
    <row r="17" spans="1:4" x14ac:dyDescent="0.25">
      <c r="A17" s="120" t="str">
        <f>'Budget Projections'!A18</f>
        <v>Interest</v>
      </c>
      <c r="B17" s="185">
        <f>'Budget Projections'!M18</f>
        <v>0</v>
      </c>
      <c r="C17" s="185">
        <f>'Budget Projections'!R18</f>
        <v>0</v>
      </c>
      <c r="D17" s="185">
        <f>'Budget Projections'!W18</f>
        <v>0</v>
      </c>
    </row>
    <row r="18" spans="1:4" x14ac:dyDescent="0.25">
      <c r="A18" s="120" t="str">
        <f>'Budget Projections'!A19</f>
        <v>Fundraising</v>
      </c>
      <c r="B18" s="185">
        <f>'Budget Projections'!M19</f>
        <v>0</v>
      </c>
      <c r="C18" s="185">
        <f>'Budget Projections'!R19</f>
        <v>0</v>
      </c>
      <c r="D18" s="185">
        <f>'Budget Projections'!W19</f>
        <v>0</v>
      </c>
    </row>
    <row r="19" spans="1:4" x14ac:dyDescent="0.25">
      <c r="A19" s="120" t="str">
        <f>'Budget Projections'!A20</f>
        <v>Excursion Fees</v>
      </c>
      <c r="B19" s="186">
        <f>'Budget Projections'!M20</f>
        <v>0</v>
      </c>
      <c r="C19" s="186">
        <f>'Budget Projections'!R20</f>
        <v>0</v>
      </c>
      <c r="D19" s="186">
        <f>'Budget Projections'!W20</f>
        <v>0</v>
      </c>
    </row>
    <row r="20" spans="1:4" x14ac:dyDescent="0.25">
      <c r="A20" s="120"/>
      <c r="B20" s="187" t="e">
        <f>'Budget Projections'!M21</f>
        <v>#DIV/0!</v>
      </c>
      <c r="C20" s="187" t="e">
        <f>'Budget Projections'!R21</f>
        <v>#DIV/0!</v>
      </c>
      <c r="D20" s="187" t="e">
        <f>'Budget Projections'!W21</f>
        <v>#DIV/0!</v>
      </c>
    </row>
    <row r="21" spans="1:4" x14ac:dyDescent="0.25">
      <c r="A21" s="120"/>
      <c r="B21" s="185"/>
      <c r="C21" s="185"/>
      <c r="D21" s="185"/>
    </row>
    <row r="22" spans="1:4" x14ac:dyDescent="0.25">
      <c r="A22" s="121" t="str">
        <f>'Budget Projections'!A23</f>
        <v>Expenses</v>
      </c>
      <c r="B22" s="185"/>
      <c r="C22" s="185"/>
      <c r="D22" s="185"/>
    </row>
    <row r="23" spans="1:4" x14ac:dyDescent="0.25">
      <c r="A23" s="120" t="str">
        <f>'Budget Projections'!A24</f>
        <v>Accounting Fees</v>
      </c>
      <c r="B23" s="185">
        <f>'Budget Projections'!M24</f>
        <v>0</v>
      </c>
      <c r="C23" s="185">
        <f>'Budget Projections'!R24</f>
        <v>0</v>
      </c>
      <c r="D23" s="185">
        <f>'Budget Projections'!W24</f>
        <v>0</v>
      </c>
    </row>
    <row r="24" spans="1:4" x14ac:dyDescent="0.25">
      <c r="A24" s="120" t="str">
        <f>'Budget Projections'!A25</f>
        <v>Advertising</v>
      </c>
      <c r="B24" s="185">
        <f>'Budget Projections'!M25</f>
        <v>0</v>
      </c>
      <c r="C24" s="185">
        <f>'Budget Projections'!R25</f>
        <v>0</v>
      </c>
      <c r="D24" s="185">
        <f>'Budget Projections'!W25</f>
        <v>0</v>
      </c>
    </row>
    <row r="25" spans="1:4" x14ac:dyDescent="0.25">
      <c r="A25" s="120" t="str">
        <f>'Budget Projections'!A26</f>
        <v>Agency Temporary Staff</v>
      </c>
      <c r="B25" s="185">
        <f>'Budget Projections'!M26</f>
        <v>0</v>
      </c>
      <c r="C25" s="185">
        <f>'Budget Projections'!R26</f>
        <v>0</v>
      </c>
      <c r="D25" s="185">
        <f>'Budget Projections'!W26</f>
        <v>0</v>
      </c>
    </row>
    <row r="26" spans="1:4" x14ac:dyDescent="0.25">
      <c r="A26" s="120" t="str">
        <f>'Budget Projections'!A27</f>
        <v>Assets &lt; $5,000</v>
      </c>
      <c r="B26" s="185">
        <f>'Budget Projections'!M27</f>
        <v>0</v>
      </c>
      <c r="C26" s="185">
        <f>'Budget Projections'!R27</f>
        <v>0</v>
      </c>
      <c r="D26" s="185">
        <f>'Budget Projections'!W27</f>
        <v>0</v>
      </c>
    </row>
    <row r="27" spans="1:4" x14ac:dyDescent="0.25">
      <c r="A27" s="120" t="str">
        <f>'Budget Projections'!A28</f>
        <v>Audit Fees</v>
      </c>
      <c r="B27" s="185">
        <f>'Budget Projections'!M28</f>
        <v>0</v>
      </c>
      <c r="C27" s="185">
        <f>'Budget Projections'!R28</f>
        <v>0</v>
      </c>
      <c r="D27" s="185">
        <f>'Budget Projections'!W28</f>
        <v>0</v>
      </c>
    </row>
    <row r="28" spans="1:4" x14ac:dyDescent="0.25">
      <c r="A28" s="120" t="str">
        <f>'Budget Projections'!A29</f>
        <v>Auspicing Fees</v>
      </c>
      <c r="B28" s="185">
        <f>'Budget Projections'!M29</f>
        <v>0</v>
      </c>
      <c r="C28" s="185">
        <f>'Budget Projections'!R29</f>
        <v>0</v>
      </c>
      <c r="D28" s="185">
        <f>'Budget Projections'!W29</f>
        <v>0</v>
      </c>
    </row>
    <row r="29" spans="1:4" x14ac:dyDescent="0.25">
      <c r="A29" s="120" t="str">
        <f>'Budget Projections'!A30</f>
        <v>Bad Debts</v>
      </c>
      <c r="B29" s="185">
        <f>'Budget Projections'!M30</f>
        <v>0</v>
      </c>
      <c r="C29" s="185">
        <f>'Budget Projections'!R30</f>
        <v>0</v>
      </c>
      <c r="D29" s="185">
        <f>'Budget Projections'!W30</f>
        <v>0</v>
      </c>
    </row>
    <row r="30" spans="1:4" x14ac:dyDescent="0.25">
      <c r="A30" s="120" t="str">
        <f>'Budget Projections'!A31</f>
        <v>Bank Charges</v>
      </c>
      <c r="B30" s="185">
        <f>'Budget Projections'!M31</f>
        <v>0</v>
      </c>
      <c r="C30" s="185">
        <f>'Budget Projections'!R31</f>
        <v>0</v>
      </c>
      <c r="D30" s="185">
        <f>'Budget Projections'!W31</f>
        <v>0</v>
      </c>
    </row>
    <row r="31" spans="1:4" x14ac:dyDescent="0.25">
      <c r="A31" s="120" t="str">
        <f>'Budget Projections'!A32</f>
        <v>Business Planning Costs</v>
      </c>
      <c r="B31" s="185">
        <f>'Budget Projections'!M32</f>
        <v>0</v>
      </c>
      <c r="C31" s="185">
        <f>'Budget Projections'!R32</f>
        <v>0</v>
      </c>
      <c r="D31" s="185">
        <f>'Budget Projections'!W32</f>
        <v>0</v>
      </c>
    </row>
    <row r="32" spans="1:4" x14ac:dyDescent="0.25">
      <c r="A32" s="120" t="str">
        <f>'Budget Projections'!A33</f>
        <v>Cleaning</v>
      </c>
      <c r="B32" s="185">
        <f>'Budget Projections'!M33</f>
        <v>0</v>
      </c>
      <c r="C32" s="185">
        <f>'Budget Projections'!R33</f>
        <v>0</v>
      </c>
      <c r="D32" s="185">
        <f>'Budget Projections'!W33</f>
        <v>0</v>
      </c>
    </row>
    <row r="33" spans="1:4" x14ac:dyDescent="0.25">
      <c r="A33" s="120" t="str">
        <f>'Budget Projections'!A34</f>
        <v>Client Support Services - Classroom Supplies</v>
      </c>
      <c r="B33" s="185">
        <f>'Budget Projections'!M34</f>
        <v>0</v>
      </c>
      <c r="C33" s="185">
        <f>'Budget Projections'!R34</f>
        <v>0</v>
      </c>
      <c r="D33" s="185">
        <f>'Budget Projections'!W34</f>
        <v>0</v>
      </c>
    </row>
    <row r="34" spans="1:4" x14ac:dyDescent="0.25">
      <c r="A34" s="120" t="str">
        <f>'Budget Projections'!A35</f>
        <v>Client Support Services - Office Supplies</v>
      </c>
      <c r="B34" s="185">
        <f>'Budget Projections'!M35</f>
        <v>0</v>
      </c>
      <c r="C34" s="185">
        <f>'Budget Projections'!R35</f>
        <v>0</v>
      </c>
      <c r="D34" s="185">
        <f>'Budget Projections'!W35</f>
        <v>0</v>
      </c>
    </row>
    <row r="35" spans="1:4" x14ac:dyDescent="0.25">
      <c r="A35" s="120" t="str">
        <f>'Budget Projections'!A36</f>
        <v>Client Support Services - Uniforms</v>
      </c>
      <c r="B35" s="185">
        <f>'Budget Projections'!M36</f>
        <v>0</v>
      </c>
      <c r="C35" s="185">
        <f>'Budget Projections'!R36</f>
        <v>0</v>
      </c>
      <c r="D35" s="185">
        <f>'Budget Projections'!W36</f>
        <v>0</v>
      </c>
    </row>
    <row r="36" spans="1:4" x14ac:dyDescent="0.25">
      <c r="A36" s="120" t="str">
        <f>'Budget Projections'!A37</f>
        <v>Client Support Services - Access Subsidies non-PFM</v>
      </c>
      <c r="B36" s="185">
        <f>'Budget Projections'!M37</f>
        <v>0</v>
      </c>
      <c r="C36" s="185">
        <f>'Budget Projections'!R37</f>
        <v>0</v>
      </c>
      <c r="D36" s="185">
        <f>'Budget Projections'!W37</f>
        <v>0</v>
      </c>
    </row>
    <row r="37" spans="1:4" x14ac:dyDescent="0.25">
      <c r="A37" s="120" t="str">
        <f>'Budget Projections'!A38</f>
        <v>Client Support Consumables</v>
      </c>
      <c r="B37" s="185">
        <f>'Budget Projections'!M38</f>
        <v>0</v>
      </c>
      <c r="C37" s="185">
        <f>'Budget Projections'!R38</f>
        <v>0</v>
      </c>
      <c r="D37" s="185">
        <f>'Budget Projections'!W38</f>
        <v>0</v>
      </c>
    </row>
    <row r="38" spans="1:4" x14ac:dyDescent="0.25">
      <c r="A38" s="120" t="str">
        <f>'Budget Projections'!A39</f>
        <v>Committee Governance Expenses</v>
      </c>
      <c r="B38" s="185">
        <f>'Budget Projections'!M39</f>
        <v>0</v>
      </c>
      <c r="C38" s="185">
        <f>'Budget Projections'!R39</f>
        <v>0</v>
      </c>
      <c r="D38" s="185">
        <f>'Budget Projections'!W39</f>
        <v>0</v>
      </c>
    </row>
    <row r="39" spans="1:4" x14ac:dyDescent="0.25">
      <c r="A39" s="120" t="str">
        <f>'Budget Projections'!A40</f>
        <v>Computer Expenses</v>
      </c>
      <c r="B39" s="185">
        <f>'Budget Projections'!M40</f>
        <v>0</v>
      </c>
      <c r="C39" s="185">
        <f>'Budget Projections'!R40</f>
        <v>0</v>
      </c>
      <c r="D39" s="185">
        <f>'Budget Projections'!W40</f>
        <v>0</v>
      </c>
    </row>
    <row r="40" spans="1:4" x14ac:dyDescent="0.25">
      <c r="A40" s="120" t="str">
        <f>'Budget Projections'!A41</f>
        <v>Consultancy Fees</v>
      </c>
      <c r="B40" s="185">
        <f>'Budget Projections'!M41</f>
        <v>0</v>
      </c>
      <c r="C40" s="185">
        <f>'Budget Projections'!R41</f>
        <v>0</v>
      </c>
      <c r="D40" s="185">
        <f>'Budget Projections'!W41</f>
        <v>0</v>
      </c>
    </row>
    <row r="41" spans="1:4" x14ac:dyDescent="0.25">
      <c r="A41" s="120" t="str">
        <f>'Budget Projections'!A42</f>
        <v>Depreciation</v>
      </c>
      <c r="B41" s="185">
        <f>'Budget Projections'!M42</f>
        <v>0</v>
      </c>
      <c r="C41" s="185">
        <f>'Budget Projections'!R42</f>
        <v>0</v>
      </c>
      <c r="D41" s="185">
        <f>'Budget Projections'!W42</f>
        <v>0</v>
      </c>
    </row>
    <row r="42" spans="1:4" x14ac:dyDescent="0.25">
      <c r="A42" s="120" t="str">
        <f>'Budget Projections'!A43</f>
        <v>Donations and Gifts</v>
      </c>
      <c r="B42" s="185">
        <f>'Budget Projections'!M43</f>
        <v>0</v>
      </c>
      <c r="C42" s="185">
        <f>'Budget Projections'!R43</f>
        <v>0</v>
      </c>
      <c r="D42" s="185">
        <f>'Budget Projections'!W43</f>
        <v>0</v>
      </c>
    </row>
    <row r="43" spans="1:4" x14ac:dyDescent="0.25">
      <c r="A43" s="120" t="str">
        <f>'Budget Projections'!A44</f>
        <v>Entertainment Costs</v>
      </c>
      <c r="B43" s="185">
        <f>'Budget Projections'!M44</f>
        <v>0</v>
      </c>
      <c r="C43" s="185">
        <f>'Budget Projections'!R44</f>
        <v>0</v>
      </c>
      <c r="D43" s="185">
        <f>'Budget Projections'!W44</f>
        <v>0</v>
      </c>
    </row>
    <row r="44" spans="1:4" x14ac:dyDescent="0.25">
      <c r="A44" s="120" t="str">
        <f>'Budget Projections'!A45</f>
        <v>Equipment Hire / Lease</v>
      </c>
      <c r="B44" s="185">
        <f>'Budget Projections'!M45</f>
        <v>0</v>
      </c>
      <c r="C44" s="185">
        <f>'Budget Projections'!R45</f>
        <v>0</v>
      </c>
      <c r="D44" s="185">
        <f>'Budget Projections'!W45</f>
        <v>0</v>
      </c>
    </row>
    <row r="45" spans="1:4" x14ac:dyDescent="0.25">
      <c r="A45" s="120" t="str">
        <f>'Budget Projections'!A46</f>
        <v>Fees, Permits, Licences</v>
      </c>
      <c r="B45" s="185">
        <f>'Budget Projections'!M46</f>
        <v>0</v>
      </c>
      <c r="C45" s="185">
        <f>'Budget Projections'!R46</f>
        <v>0</v>
      </c>
      <c r="D45" s="185">
        <f>'Budget Projections'!W46</f>
        <v>0</v>
      </c>
    </row>
    <row r="46" spans="1:4" x14ac:dyDescent="0.25">
      <c r="A46" s="120" t="str">
        <f>'Budget Projections'!A47</f>
        <v>Fundraising Expenses</v>
      </c>
      <c r="B46" s="185">
        <f>'Budget Projections'!M47</f>
        <v>0</v>
      </c>
      <c r="C46" s="185">
        <f>'Budget Projections'!R47</f>
        <v>0</v>
      </c>
      <c r="D46" s="185">
        <f>'Budget Projections'!W47</f>
        <v>0</v>
      </c>
    </row>
    <row r="47" spans="1:4" x14ac:dyDescent="0.25">
      <c r="A47" s="120" t="str">
        <f>'Budget Projections'!A48</f>
        <v>Health &amp; Safety</v>
      </c>
      <c r="B47" s="185">
        <f>'Budget Projections'!M48</f>
        <v>0</v>
      </c>
      <c r="C47" s="185">
        <f>'Budget Projections'!R48</f>
        <v>0</v>
      </c>
      <c r="D47" s="185">
        <f>'Budget Projections'!W48</f>
        <v>0</v>
      </c>
    </row>
    <row r="48" spans="1:4" x14ac:dyDescent="0.25">
      <c r="A48" s="120" t="str">
        <f>'Budget Projections'!A49</f>
        <v>Insurance - General</v>
      </c>
      <c r="B48" s="185">
        <f>'Budget Projections'!M49</f>
        <v>0</v>
      </c>
      <c r="C48" s="185">
        <f>'Budget Projections'!R49</f>
        <v>0</v>
      </c>
      <c r="D48" s="185">
        <f>'Budget Projections'!W49</f>
        <v>0</v>
      </c>
    </row>
    <row r="49" spans="1:4" x14ac:dyDescent="0.25">
      <c r="A49" s="120" t="str">
        <f>'Budget Projections'!A50</f>
        <v>Interest Paid</v>
      </c>
      <c r="B49" s="185">
        <f>'Budget Projections'!M50</f>
        <v>0</v>
      </c>
      <c r="C49" s="185">
        <f>'Budget Projections'!R50</f>
        <v>0</v>
      </c>
      <c r="D49" s="185">
        <f>'Budget Projections'!W50</f>
        <v>0</v>
      </c>
    </row>
    <row r="50" spans="1:4" x14ac:dyDescent="0.25">
      <c r="A50" s="120" t="str">
        <f>'Budget Projections'!A51</f>
        <v>Legal Fees</v>
      </c>
      <c r="B50" s="185">
        <f>'Budget Projections'!M51</f>
        <v>0</v>
      </c>
      <c r="C50" s="185">
        <f>'Budget Projections'!R51</f>
        <v>0</v>
      </c>
      <c r="D50" s="185">
        <f>'Budget Projections'!W51</f>
        <v>0</v>
      </c>
    </row>
    <row r="51" spans="1:4" x14ac:dyDescent="0.25">
      <c r="A51" s="120" t="str">
        <f>'Budget Projections'!A52</f>
        <v>Loss on Sale of Assets</v>
      </c>
      <c r="B51" s="185">
        <f>'Budget Projections'!M52</f>
        <v>0</v>
      </c>
      <c r="C51" s="185">
        <f>'Budget Projections'!R52</f>
        <v>0</v>
      </c>
      <c r="D51" s="185">
        <f>'Budget Projections'!W52</f>
        <v>0</v>
      </c>
    </row>
    <row r="52" spans="1:4" x14ac:dyDescent="0.25">
      <c r="A52" s="120" t="str">
        <f>'Budget Projections'!A53</f>
        <v>Management Fee - Bookkeeping</v>
      </c>
      <c r="B52" s="185">
        <f>'Budget Projections'!M53</f>
        <v>0</v>
      </c>
      <c r="C52" s="185">
        <f>'Budget Projections'!R53</f>
        <v>0</v>
      </c>
      <c r="D52" s="185">
        <f>'Budget Projections'!W53</f>
        <v>0</v>
      </c>
    </row>
    <row r="53" spans="1:4" x14ac:dyDescent="0.25">
      <c r="A53" s="120" t="str">
        <f>'Budget Projections'!A54</f>
        <v>Meeting Expenses</v>
      </c>
      <c r="B53" s="185">
        <f>'Budget Projections'!M54</f>
        <v>0</v>
      </c>
      <c r="C53" s="185">
        <f>'Budget Projections'!R54</f>
        <v>0</v>
      </c>
      <c r="D53" s="185">
        <f>'Budget Projections'!W54</f>
        <v>0</v>
      </c>
    </row>
    <row r="54" spans="1:4" x14ac:dyDescent="0.25">
      <c r="A54" s="120" t="str">
        <f>'Budget Projections'!A55</f>
        <v>Membership Fees Paid</v>
      </c>
      <c r="B54" s="185">
        <f>'Budget Projections'!M55</f>
        <v>0</v>
      </c>
      <c r="C54" s="185">
        <f>'Budget Projections'!R55</f>
        <v>0</v>
      </c>
      <c r="D54" s="185">
        <f>'Budget Projections'!W55</f>
        <v>0</v>
      </c>
    </row>
    <row r="55" spans="1:4" x14ac:dyDescent="0.25">
      <c r="A55" s="120" t="str">
        <f>'Budget Projections'!A56</f>
        <v>Motor Vehicle Expenses</v>
      </c>
      <c r="B55" s="185">
        <f>'Budget Projections'!M56</f>
        <v>0</v>
      </c>
      <c r="C55" s="185">
        <f>'Budget Projections'!R56</f>
        <v>0</v>
      </c>
      <c r="D55" s="185">
        <f>'Budget Projections'!W56</f>
        <v>0</v>
      </c>
    </row>
    <row r="56" spans="1:4" x14ac:dyDescent="0.25">
      <c r="A56" s="120" t="str">
        <f>'Budget Projections'!A57</f>
        <v>Postage, Freight and Courier</v>
      </c>
      <c r="B56" s="185">
        <f>'Budget Projections'!M57</f>
        <v>0</v>
      </c>
      <c r="C56" s="185">
        <f>'Budget Projections'!R57</f>
        <v>0</v>
      </c>
      <c r="D56" s="185">
        <f>'Budget Projections'!W57</f>
        <v>0</v>
      </c>
    </row>
    <row r="57" spans="1:4" x14ac:dyDescent="0.25">
      <c r="A57" s="120" t="str">
        <f>'Budget Projections'!A58</f>
        <v>Printing &amp; Stationery</v>
      </c>
      <c r="B57" s="185">
        <f>'Budget Projections'!M58</f>
        <v>0</v>
      </c>
      <c r="C57" s="185">
        <f>'Budget Projections'!R58</f>
        <v>0</v>
      </c>
      <c r="D57" s="185">
        <f>'Budget Projections'!W58</f>
        <v>0</v>
      </c>
    </row>
    <row r="58" spans="1:4" x14ac:dyDescent="0.25">
      <c r="A58" s="120" t="str">
        <f>'Budget Projections'!A59</f>
        <v>Publications and Information Resources</v>
      </c>
      <c r="B58" s="185">
        <f>'Budget Projections'!M59</f>
        <v>0</v>
      </c>
      <c r="C58" s="185">
        <f>'Budget Projections'!R59</f>
        <v>0</v>
      </c>
      <c r="D58" s="185">
        <f>'Budget Projections'!W59</f>
        <v>0</v>
      </c>
    </row>
    <row r="59" spans="1:4" x14ac:dyDescent="0.25">
      <c r="A59" s="120" t="str">
        <f>'Budget Projections'!A60</f>
        <v>Rates</v>
      </c>
      <c r="B59" s="185">
        <f>'Budget Projections'!M60</f>
        <v>0</v>
      </c>
      <c r="C59" s="185">
        <f>'Budget Projections'!R60</f>
        <v>0</v>
      </c>
      <c r="D59" s="185">
        <f>'Budget Projections'!W60</f>
        <v>0</v>
      </c>
    </row>
    <row r="60" spans="1:4" x14ac:dyDescent="0.25">
      <c r="A60" s="120" t="str">
        <f>'Budget Projections'!A61</f>
        <v>Rent</v>
      </c>
      <c r="B60" s="185">
        <f>'Budget Projections'!M61</f>
        <v>0</v>
      </c>
      <c r="C60" s="185">
        <f>'Budget Projections'!R61</f>
        <v>0</v>
      </c>
      <c r="D60" s="185">
        <f>'Budget Projections'!W61</f>
        <v>0</v>
      </c>
    </row>
    <row r="61" spans="1:4" x14ac:dyDescent="0.25">
      <c r="A61" s="120" t="str">
        <f>'Budget Projections'!A62</f>
        <v>R&amp;M - Building/Grounds</v>
      </c>
      <c r="B61" s="185">
        <f>'Budget Projections'!M62</f>
        <v>0</v>
      </c>
      <c r="C61" s="185">
        <f>'Budget Projections'!R62</f>
        <v>0</v>
      </c>
      <c r="D61" s="185">
        <f>'Budget Projections'!W62</f>
        <v>0</v>
      </c>
    </row>
    <row r="62" spans="1:4" x14ac:dyDescent="0.25">
      <c r="A62" s="120" t="str">
        <f>'Budget Projections'!A63</f>
        <v>R&amp;M - Plant/Equipment</v>
      </c>
      <c r="B62" s="185">
        <f>'Budget Projections'!M63</f>
        <v>0</v>
      </c>
      <c r="C62" s="185">
        <f>'Budget Projections'!R63</f>
        <v>0</v>
      </c>
      <c r="D62" s="185">
        <f>'Budget Projections'!W63</f>
        <v>0</v>
      </c>
    </row>
    <row r="63" spans="1:4" x14ac:dyDescent="0.25">
      <c r="A63" s="120" t="str">
        <f>'Budget Projections'!A64</f>
        <v>Salaries and Wages - Casual</v>
      </c>
      <c r="B63" s="185">
        <f>'Budget Projections'!M64</f>
        <v>0</v>
      </c>
      <c r="C63" s="185">
        <f>'Budget Projections'!R64</f>
        <v>0</v>
      </c>
      <c r="D63" s="185">
        <f>'Budget Projections'!W64</f>
        <v>0</v>
      </c>
    </row>
    <row r="64" spans="1:4" x14ac:dyDescent="0.25">
      <c r="A64" s="120" t="str">
        <f>'Budget Projections'!A65</f>
        <v>Salaries and Wages - Permanent</v>
      </c>
      <c r="B64" s="185">
        <f>'Budget Projections'!M65</f>
        <v>0</v>
      </c>
      <c r="C64" s="185">
        <f>'Budget Projections'!R65</f>
        <v>0</v>
      </c>
      <c r="D64" s="185">
        <f>'Budget Projections'!W65</f>
        <v>0</v>
      </c>
    </row>
    <row r="65" spans="1:4" x14ac:dyDescent="0.25">
      <c r="A65" s="120" t="str">
        <f>'Budget Projections'!A66</f>
        <v>Salaries and Wages - Provision for Annual Leave</v>
      </c>
      <c r="B65" s="185">
        <f>'Budget Projections'!M66</f>
        <v>0</v>
      </c>
      <c r="C65" s="185">
        <f>'Budget Projections'!R66</f>
        <v>0</v>
      </c>
      <c r="D65" s="185">
        <f>'Budget Projections'!W66</f>
        <v>0</v>
      </c>
    </row>
    <row r="66" spans="1:4" x14ac:dyDescent="0.25">
      <c r="A66" s="120" t="str">
        <f>'Budget Projections'!A67</f>
        <v>Salaries and Wages - Provision for Long Service Leave</v>
      </c>
      <c r="B66" s="185">
        <f>'Budget Projections'!M67</f>
        <v>0</v>
      </c>
      <c r="C66" s="185">
        <f>'Budget Projections'!R67</f>
        <v>0</v>
      </c>
      <c r="D66" s="185">
        <f>'Budget Projections'!W67</f>
        <v>0</v>
      </c>
    </row>
    <row r="67" spans="1:4" x14ac:dyDescent="0.25">
      <c r="A67" s="120" t="str">
        <f>'Budget Projections'!A68</f>
        <v>Salaries and Wages - Provision for Personal Leave</v>
      </c>
      <c r="B67" s="185">
        <f>'Budget Projections'!M68</f>
        <v>0</v>
      </c>
      <c r="C67" s="185">
        <f>'Budget Projections'!R68</f>
        <v>0</v>
      </c>
      <c r="D67" s="185">
        <f>'Budget Projections'!W68</f>
        <v>0</v>
      </c>
    </row>
    <row r="68" spans="1:4" x14ac:dyDescent="0.25">
      <c r="A68" s="120" t="str">
        <f>'Budget Projections'!A69</f>
        <v>Salaries and Wages - Superannuation</v>
      </c>
      <c r="B68" s="185">
        <f>'Budget Projections'!M69</f>
        <v>0</v>
      </c>
      <c r="C68" s="185">
        <f>'Budget Projections'!R69</f>
        <v>0</v>
      </c>
      <c r="D68" s="185">
        <f>'Budget Projections'!W69</f>
        <v>0</v>
      </c>
    </row>
    <row r="69" spans="1:4" x14ac:dyDescent="0.25">
      <c r="A69" s="120" t="str">
        <f>'Budget Projections'!A70</f>
        <v>Salaries and Wages - Termination Payments</v>
      </c>
      <c r="B69" s="185">
        <f>'Budget Projections'!M70</f>
        <v>0</v>
      </c>
      <c r="C69" s="185">
        <f>'Budget Projections'!R70</f>
        <v>0</v>
      </c>
      <c r="D69" s="185">
        <f>'Budget Projections'!W70</f>
        <v>0</v>
      </c>
    </row>
    <row r="70" spans="1:4" x14ac:dyDescent="0.25">
      <c r="A70" s="120" t="str">
        <f>'Budget Projections'!A71</f>
        <v>Salaries and Wages - Travel Allowance</v>
      </c>
      <c r="B70" s="185">
        <f>'Budget Projections'!M71</f>
        <v>0</v>
      </c>
      <c r="C70" s="185">
        <f>'Budget Projections'!R71</f>
        <v>0</v>
      </c>
      <c r="D70" s="185">
        <f>'Budget Projections'!W71</f>
        <v>0</v>
      </c>
    </row>
    <row r="71" spans="1:4" x14ac:dyDescent="0.25">
      <c r="A71" s="120" t="str">
        <f>'Budget Projections'!A72</f>
        <v>Salaries and Wages - WorkCover Premiums</v>
      </c>
      <c r="B71" s="185">
        <f>'Budget Projections'!M72</f>
        <v>0</v>
      </c>
      <c r="C71" s="185">
        <f>'Budget Projections'!R72</f>
        <v>0</v>
      </c>
      <c r="D71" s="185">
        <f>'Budget Projections'!W72</f>
        <v>0</v>
      </c>
    </row>
    <row r="72" spans="1:4" x14ac:dyDescent="0.25">
      <c r="A72" s="120" t="str">
        <f>'Budget Projections'!A73</f>
        <v>Security</v>
      </c>
      <c r="B72" s="185">
        <f>'Budget Projections'!M73</f>
        <v>0</v>
      </c>
      <c r="C72" s="185">
        <f>'Budget Projections'!R73</f>
        <v>0</v>
      </c>
      <c r="D72" s="185">
        <f>'Budget Projections'!W73</f>
        <v>0</v>
      </c>
    </row>
    <row r="73" spans="1:4" x14ac:dyDescent="0.25">
      <c r="A73" s="120" t="str">
        <f>'Budget Projections'!A74</f>
        <v>Staff Amenities</v>
      </c>
      <c r="B73" s="185">
        <f>'Budget Projections'!M74</f>
        <v>0</v>
      </c>
      <c r="C73" s="185">
        <f>'Budget Projections'!R74</f>
        <v>0</v>
      </c>
      <c r="D73" s="185">
        <f>'Budget Projections'!W74</f>
        <v>0</v>
      </c>
    </row>
    <row r="74" spans="1:4" x14ac:dyDescent="0.25">
      <c r="A74" s="120" t="str">
        <f>'Budget Projections'!A75</f>
        <v>Sundries</v>
      </c>
      <c r="B74" s="185">
        <f>'Budget Projections'!M75</f>
        <v>0</v>
      </c>
      <c r="C74" s="185">
        <f>'Budget Projections'!R75</f>
        <v>0</v>
      </c>
      <c r="D74" s="185">
        <f>'Budget Projections'!W75</f>
        <v>0</v>
      </c>
    </row>
    <row r="75" spans="1:4" x14ac:dyDescent="0.25">
      <c r="A75" s="120" t="str">
        <f>'Budget Projections'!A76</f>
        <v>Telephone &amp; Internet</v>
      </c>
      <c r="B75" s="185">
        <f>'Budget Projections'!M76</f>
        <v>0</v>
      </c>
      <c r="C75" s="185">
        <f>'Budget Projections'!R76</f>
        <v>0</v>
      </c>
      <c r="D75" s="185">
        <f>'Budget Projections'!W76</f>
        <v>0</v>
      </c>
    </row>
    <row r="76" spans="1:4" x14ac:dyDescent="0.25">
      <c r="A76" s="120" t="str">
        <f>'Budget Projections'!A77</f>
        <v>Training &amp; Development - Committee</v>
      </c>
      <c r="B76" s="185">
        <f>'Budget Projections'!M77</f>
        <v>0</v>
      </c>
      <c r="C76" s="185">
        <f>'Budget Projections'!R77</f>
        <v>0</v>
      </c>
      <c r="D76" s="185">
        <f>'Budget Projections'!W77</f>
        <v>0</v>
      </c>
    </row>
    <row r="77" spans="1:4" x14ac:dyDescent="0.25">
      <c r="A77" s="120" t="str">
        <f>'Budget Projections'!A78</f>
        <v>Training &amp; Development - Staff</v>
      </c>
      <c r="B77" s="185">
        <f>'Budget Projections'!M78</f>
        <v>0</v>
      </c>
      <c r="C77" s="185">
        <f>'Budget Projections'!R78</f>
        <v>0</v>
      </c>
      <c r="D77" s="185">
        <f>'Budget Projections'!W78</f>
        <v>0</v>
      </c>
    </row>
    <row r="78" spans="1:4" x14ac:dyDescent="0.25">
      <c r="A78" s="120" t="str">
        <f>'Budget Projections'!A79</f>
        <v>Travel &amp; Accommodation</v>
      </c>
      <c r="B78" s="185">
        <f>'Budget Projections'!M79</f>
        <v>0</v>
      </c>
      <c r="C78" s="185">
        <f>'Budget Projections'!R79</f>
        <v>0</v>
      </c>
      <c r="D78" s="185">
        <f>'Budget Projections'!W79</f>
        <v>0</v>
      </c>
    </row>
    <row r="79" spans="1:4" x14ac:dyDescent="0.25">
      <c r="A79" s="120" t="str">
        <f>'Budget Projections'!A80</f>
        <v>Utilities</v>
      </c>
      <c r="B79" s="185">
        <f>'Budget Projections'!M80</f>
        <v>0</v>
      </c>
      <c r="C79" s="185">
        <f>'Budget Projections'!R80</f>
        <v>0</v>
      </c>
      <c r="D79" s="185">
        <f>'Budget Projections'!W80</f>
        <v>0</v>
      </c>
    </row>
    <row r="80" spans="1:4" x14ac:dyDescent="0.25">
      <c r="A80" s="120" t="str">
        <f>'Budget Projections'!A81</f>
        <v>Write-off Expenses</v>
      </c>
      <c r="B80" s="185">
        <f>'Budget Projections'!M81</f>
        <v>0</v>
      </c>
      <c r="C80" s="185">
        <f>'Budget Projections'!R81</f>
        <v>0</v>
      </c>
      <c r="D80" s="185">
        <f>'Budget Projections'!W81</f>
        <v>0</v>
      </c>
    </row>
    <row r="81" spans="1:4" x14ac:dyDescent="0.25">
      <c r="A81" s="120" t="str">
        <f>'Budget Projections'!A82</f>
        <v>General Expenses</v>
      </c>
      <c r="B81" s="185">
        <f>'Budget Projections'!M82</f>
        <v>0</v>
      </c>
      <c r="C81" s="185">
        <f>'Budget Projections'!R82</f>
        <v>0</v>
      </c>
      <c r="D81" s="185">
        <f>'Budget Projections'!W82</f>
        <v>0</v>
      </c>
    </row>
    <row r="82" spans="1:4" x14ac:dyDescent="0.25">
      <c r="A82" s="120" t="str">
        <f>'Budget Projections'!A83</f>
        <v>Water Purchases</v>
      </c>
      <c r="B82" s="185">
        <f>'Budget Projections'!M83</f>
        <v>0</v>
      </c>
      <c r="C82" s="185">
        <f>'Budget Projections'!R83</f>
        <v>0</v>
      </c>
      <c r="D82" s="185">
        <f>'Budget Projections'!W83</f>
        <v>0</v>
      </c>
    </row>
    <row r="83" spans="1:4" x14ac:dyDescent="0.25">
      <c r="A83" s="120" t="str">
        <f>'Budget Projections'!A84</f>
        <v>Website Development &amp; Maintenance</v>
      </c>
      <c r="B83" s="185">
        <f>'Budget Projections'!M84</f>
        <v>0</v>
      </c>
      <c r="C83" s="185">
        <f>'Budget Projections'!R84</f>
        <v>0</v>
      </c>
      <c r="D83" s="185">
        <f>'Budget Projections'!W84</f>
        <v>0</v>
      </c>
    </row>
    <row r="84" spans="1:4" x14ac:dyDescent="0.25">
      <c r="A84" s="120" t="str">
        <f>'Budget Projections'!A85</f>
        <v>Other Expenses</v>
      </c>
      <c r="B84" s="185">
        <f>'Budget Projections'!M85</f>
        <v>0</v>
      </c>
      <c r="C84" s="185">
        <f>'Budget Projections'!R85</f>
        <v>0</v>
      </c>
      <c r="D84" s="185">
        <f>'Budget Projections'!W85</f>
        <v>0</v>
      </c>
    </row>
    <row r="85" spans="1:4" x14ac:dyDescent="0.25">
      <c r="A85" s="120" t="str">
        <f>'Budget Projections'!A86</f>
        <v>Other Expenses</v>
      </c>
      <c r="B85" s="186">
        <f>'Budget Projections'!M86</f>
        <v>0</v>
      </c>
      <c r="C85" s="186">
        <f>'Budget Projections'!R86</f>
        <v>0</v>
      </c>
      <c r="D85" s="186">
        <f>'Budget Projections'!W86</f>
        <v>0</v>
      </c>
    </row>
    <row r="86" spans="1:4" x14ac:dyDescent="0.25">
      <c r="A86" s="120"/>
      <c r="B86" s="185">
        <f>'Budget Projections'!M87</f>
        <v>0</v>
      </c>
      <c r="C86" s="185">
        <f>'Budget Projections'!R87</f>
        <v>0</v>
      </c>
      <c r="D86" s="185">
        <f>'Budget Projections'!W87</f>
        <v>0</v>
      </c>
    </row>
    <row r="87" spans="1:4" x14ac:dyDescent="0.25">
      <c r="A87" s="120"/>
      <c r="B87" s="185"/>
      <c r="C87" s="185"/>
      <c r="D87" s="185"/>
    </row>
    <row r="88" spans="1:4" ht="15.75" thickBot="1" x14ac:dyDescent="0.3">
      <c r="A88" s="184" t="s">
        <v>130</v>
      </c>
      <c r="B88" s="188" t="e">
        <f>'Budget Projections'!M89</f>
        <v>#DIV/0!</v>
      </c>
      <c r="C88" s="188" t="e">
        <f>'Budget Projections'!R89</f>
        <v>#DIV/0!</v>
      </c>
      <c r="D88" s="188" t="e">
        <f>'Budget Projections'!W89</f>
        <v>#DIV/0!</v>
      </c>
    </row>
    <row r="89" spans="1:4" ht="15.75" thickTop="1" x14ac:dyDescent="0.25">
      <c r="A89" s="120"/>
    </row>
    <row r="90" spans="1:4" x14ac:dyDescent="0.25">
      <c r="A90" s="120"/>
    </row>
    <row r="91" spans="1:4" x14ac:dyDescent="0.25">
      <c r="A91" s="120"/>
    </row>
    <row r="92" spans="1:4" x14ac:dyDescent="0.25">
      <c r="A92" s="120"/>
    </row>
    <row r="93" spans="1:4" x14ac:dyDescent="0.25">
      <c r="A93" s="120"/>
    </row>
    <row r="94" spans="1:4" x14ac:dyDescent="0.25">
      <c r="A94" s="120"/>
    </row>
    <row r="95" spans="1:4" x14ac:dyDescent="0.25">
      <c r="A95" s="120"/>
    </row>
    <row r="96" spans="1:4" x14ac:dyDescent="0.25">
      <c r="A96" s="120"/>
    </row>
    <row r="97" spans="1:1" x14ac:dyDescent="0.25">
      <c r="A97" s="120"/>
    </row>
    <row r="98" spans="1:1" x14ac:dyDescent="0.25">
      <c r="A98" s="120"/>
    </row>
    <row r="99" spans="1:1" x14ac:dyDescent="0.25">
      <c r="A99" s="120"/>
    </row>
    <row r="100" spans="1:1" x14ac:dyDescent="0.25">
      <c r="A100" s="120"/>
    </row>
    <row r="101" spans="1:1" x14ac:dyDescent="0.25">
      <c r="A101" s="120"/>
    </row>
    <row r="102" spans="1:1" x14ac:dyDescent="0.25">
      <c r="A102" s="120"/>
    </row>
    <row r="103" spans="1:1" x14ac:dyDescent="0.25">
      <c r="A103" s="120"/>
    </row>
    <row r="104" spans="1:1" x14ac:dyDescent="0.25">
      <c r="A104" s="120"/>
    </row>
    <row r="105" spans="1:1" x14ac:dyDescent="0.25">
      <c r="A105" s="120"/>
    </row>
    <row r="106" spans="1:1" x14ac:dyDescent="0.25">
      <c r="A106" s="120"/>
    </row>
    <row r="107" spans="1:1" x14ac:dyDescent="0.25">
      <c r="A107" s="120"/>
    </row>
    <row r="108" spans="1:1" x14ac:dyDescent="0.25">
      <c r="A108" s="120"/>
    </row>
    <row r="109" spans="1:1" x14ac:dyDescent="0.25">
      <c r="A109" s="120"/>
    </row>
    <row r="110" spans="1:1" x14ac:dyDescent="0.25">
      <c r="A110" s="120"/>
    </row>
    <row r="111" spans="1:1" x14ac:dyDescent="0.25">
      <c r="A111" s="120"/>
    </row>
    <row r="112" spans="1:1" x14ac:dyDescent="0.25">
      <c r="A112" s="120"/>
    </row>
    <row r="113" spans="1:1" x14ac:dyDescent="0.25">
      <c r="A113" s="120"/>
    </row>
    <row r="114" spans="1:1" x14ac:dyDescent="0.25">
      <c r="A114" s="120"/>
    </row>
    <row r="115" spans="1:1" x14ac:dyDescent="0.25">
      <c r="A115" s="120"/>
    </row>
    <row r="116" spans="1:1" x14ac:dyDescent="0.25">
      <c r="A116" s="120"/>
    </row>
    <row r="117" spans="1:1" x14ac:dyDescent="0.25">
      <c r="A117" s="120"/>
    </row>
    <row r="118" spans="1:1" x14ac:dyDescent="0.25">
      <c r="A118" s="120"/>
    </row>
    <row r="119" spans="1:1" x14ac:dyDescent="0.25">
      <c r="A119" s="120"/>
    </row>
    <row r="120" spans="1:1" x14ac:dyDescent="0.25">
      <c r="A120" s="120"/>
    </row>
    <row r="121" spans="1:1" x14ac:dyDescent="0.25">
      <c r="A121" s="120"/>
    </row>
    <row r="122" spans="1:1" x14ac:dyDescent="0.25">
      <c r="A122" s="120"/>
    </row>
    <row r="123" spans="1:1" x14ac:dyDescent="0.25">
      <c r="A123" s="120"/>
    </row>
    <row r="124" spans="1:1" x14ac:dyDescent="0.25">
      <c r="A124" s="120"/>
    </row>
    <row r="125" spans="1:1" x14ac:dyDescent="0.25">
      <c r="A125" s="120"/>
    </row>
    <row r="126" spans="1:1" x14ac:dyDescent="0.25">
      <c r="A126" s="120"/>
    </row>
    <row r="127" spans="1:1" x14ac:dyDescent="0.25">
      <c r="A127" s="120"/>
    </row>
    <row r="128" spans="1:1" x14ac:dyDescent="0.25">
      <c r="A128" s="120"/>
    </row>
    <row r="129" spans="1:1" x14ac:dyDescent="0.25">
      <c r="A129" s="120"/>
    </row>
    <row r="130" spans="1:1" x14ac:dyDescent="0.25">
      <c r="A130" s="120"/>
    </row>
    <row r="131" spans="1:1" x14ac:dyDescent="0.25">
      <c r="A131" s="120"/>
    </row>
    <row r="132" spans="1:1" x14ac:dyDescent="0.25">
      <c r="A132" s="120"/>
    </row>
    <row r="133" spans="1:1" x14ac:dyDescent="0.25">
      <c r="A133" s="120"/>
    </row>
  </sheetData>
  <sheetProtection algorithmName="SHA-512" hashValue="kNLSSkrpV+WqpP+U35/YISXYNDBVhShFuGAW5TOkTiydIDdA43EUo4ypByoMM73E+aWDPn90GErRpkcgSUlfDQ==" saltValue="xUsxkH8eWaU4G4O238LhYA==" spinCount="100000" sheet="1" objects="1" scenarios="1"/>
  <mergeCells count="2">
    <mergeCell ref="A2:A3"/>
    <mergeCell ref="B2:D3"/>
  </mergeCells>
  <pageMargins left="0.7" right="0.7" top="0.75" bottom="0.75" header="0.3" footer="0.3"/>
  <pageSetup paperSize="8" scale="84" fitToWidth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CD94663-8B42-409E-807D-A7795A1C7DFC}">
            <xm:f>IF('Service Information'!$A$4="","true","false")</xm:f>
            <x14:dxf>
              <font>
                <color theme="0"/>
              </font>
            </x14:dxf>
          </x14:cfRule>
          <xm:sqref>B2:D3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Service Information</vt:lpstr>
      <vt:lpstr>PFM Amounts</vt:lpstr>
      <vt:lpstr>Wages Budget</vt:lpstr>
      <vt:lpstr>Budget Projections</vt:lpstr>
      <vt:lpstr>Fee Setting</vt:lpstr>
      <vt:lpstr>Budget for Printing</vt:lpstr>
      <vt:lpstr>'Budget for Printing'!Print_Area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Gunn</dc:creator>
  <cp:lastModifiedBy>Shauna Fayers</cp:lastModifiedBy>
  <cp:lastPrinted>2015-11-19T06:49:52Z</cp:lastPrinted>
  <dcterms:created xsi:type="dcterms:W3CDTF">2013-10-31T22:52:39Z</dcterms:created>
  <dcterms:modified xsi:type="dcterms:W3CDTF">2016-09-04T23:46:49Z</dcterms:modified>
</cp:coreProperties>
</file>